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I:\賃金台帳2023\"/>
    </mc:Choice>
  </mc:AlternateContent>
  <xr:revisionPtr revIDLastSave="0" documentId="13_ncr:1_{150D5CBC-603D-4688-B6BB-EC6EEC3363E3}" xr6:coauthVersionLast="47" xr6:coauthVersionMax="47" xr10:uidLastSave="{00000000-0000-0000-0000-000000000000}"/>
  <bookViews>
    <workbookView xWindow="-120" yWindow="-120" windowWidth="29040" windowHeight="15720" tabRatio="592" firstSheet="15" activeTab="26" xr2:uid="{00000000-000D-0000-FFFF-FFFF00000000}"/>
  </bookViews>
  <sheets>
    <sheet name="高井" sheetId="49" r:id="rId1"/>
    <sheet name="中元" sheetId="48" r:id="rId2"/>
    <sheet name="前川" sheetId="47" r:id="rId3"/>
    <sheet name="香山 (2)" sheetId="46" r:id="rId4"/>
    <sheet name="前田  (2)" sheetId="45" r:id="rId5"/>
    <sheet name="新澤" sheetId="44" r:id="rId6"/>
    <sheet name="鴻斎" sheetId="43" r:id="rId7"/>
    <sheet name="原本" sheetId="2" r:id="rId8"/>
    <sheet name="前田 " sheetId="12" r:id="rId9"/>
    <sheet name="香山" sheetId="10" r:id="rId10"/>
    <sheet name="友久" sheetId="9" r:id="rId11"/>
    <sheet name="池内" sheetId="11" r:id="rId12"/>
    <sheet name="霞末" sheetId="6" r:id="rId13"/>
    <sheet name="畑中" sheetId="7" r:id="rId14"/>
    <sheet name="油谷" sheetId="14" r:id="rId15"/>
    <sheet name="田中" sheetId="23" r:id="rId16"/>
    <sheet name="鈴木" sheetId="3" r:id="rId17"/>
    <sheet name="香西" sheetId="34" r:id="rId18"/>
    <sheet name="檜垣" sheetId="41" r:id="rId19"/>
    <sheet name="瀧川" sheetId="37" r:id="rId20"/>
    <sheet name="小川清" sheetId="35" r:id="rId21"/>
    <sheet name="小川リエ" sheetId="36" r:id="rId22"/>
    <sheet name="足立" sheetId="40" r:id="rId23"/>
    <sheet name="中川" sheetId="39" r:id="rId24"/>
    <sheet name="土屋" sheetId="42" r:id="rId25"/>
    <sheet name="和哉" sheetId="17" r:id="rId26"/>
    <sheet name="宏稀" sheetId="16" r:id="rId27"/>
    <sheet name="中村初男" sheetId="30" r:id="rId28"/>
    <sheet name="山川善博" sheetId="31" r:id="rId29"/>
    <sheet name="岡本" sheetId="18" r:id="rId30"/>
    <sheet name="山兄" sheetId="5" r:id="rId31"/>
    <sheet name="山弟" sheetId="13" r:id="rId32"/>
    <sheet name="恵子" sheetId="21" r:id="rId33"/>
    <sheet name="山名" sheetId="20" r:id="rId34"/>
    <sheet name="高木" sheetId="15" r:id="rId35"/>
    <sheet name="杜山" sheetId="8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1" i="23" l="1"/>
  <c r="P24" i="23" s="1"/>
  <c r="D21" i="23"/>
  <c r="D24" i="23" s="1"/>
  <c r="D25" i="23" s="1"/>
  <c r="D30" i="23" s="1"/>
  <c r="D31" i="23" s="1"/>
  <c r="D21" i="31"/>
  <c r="D24" i="31" s="1"/>
  <c r="AJ18" i="46"/>
  <c r="AM18" i="46" s="1"/>
  <c r="AJ17" i="46"/>
  <c r="AM17" i="46" s="1"/>
  <c r="AJ16" i="46"/>
  <c r="AM16" i="46" s="1"/>
  <c r="P30" i="30"/>
  <c r="L30" i="30"/>
  <c r="P21" i="30"/>
  <c r="P24" i="30" s="1"/>
  <c r="AJ21" i="46"/>
  <c r="AM21" i="46" s="1"/>
  <c r="AJ20" i="46"/>
  <c r="AM20" i="46" s="1"/>
  <c r="X21" i="44"/>
  <c r="X23" i="44" s="1"/>
  <c r="X24" i="44" s="1"/>
  <c r="X29" i="44" s="1"/>
  <c r="AJ19" i="46"/>
  <c r="AM19" i="46" s="1"/>
  <c r="V21" i="44"/>
  <c r="V23" i="44" s="1"/>
  <c r="V21" i="49"/>
  <c r="V21" i="48"/>
  <c r="V23" i="48" s="1"/>
  <c r="AB29" i="49"/>
  <c r="T29" i="49"/>
  <c r="P29" i="49"/>
  <c r="N29" i="49"/>
  <c r="L29" i="49"/>
  <c r="J29" i="49"/>
  <c r="H29" i="49"/>
  <c r="F29" i="49"/>
  <c r="D29" i="49"/>
  <c r="P23" i="49"/>
  <c r="F23" i="49"/>
  <c r="F30" i="49" s="1"/>
  <c r="Z21" i="49"/>
  <c r="Z23" i="49" s="1"/>
  <c r="X21" i="49"/>
  <c r="V23" i="49"/>
  <c r="T21" i="49"/>
  <c r="T23" i="49" s="1"/>
  <c r="R21" i="49"/>
  <c r="R23" i="49" s="1"/>
  <c r="R30" i="49" s="1"/>
  <c r="P21" i="49"/>
  <c r="N21" i="49"/>
  <c r="N23" i="49" s="1"/>
  <c r="N30" i="49" s="1"/>
  <c r="L21" i="49"/>
  <c r="L23" i="49" s="1"/>
  <c r="L30" i="49" s="1"/>
  <c r="J21" i="49"/>
  <c r="J23" i="49" s="1"/>
  <c r="H21" i="49"/>
  <c r="H23" i="49" s="1"/>
  <c r="H30" i="49" s="1"/>
  <c r="F21" i="49"/>
  <c r="D21" i="49"/>
  <c r="D23" i="49" s="1"/>
  <c r="D30" i="49" s="1"/>
  <c r="AB29" i="48"/>
  <c r="T29" i="48"/>
  <c r="R29" i="48"/>
  <c r="P29" i="48"/>
  <c r="N29" i="48"/>
  <c r="L29" i="48"/>
  <c r="J29" i="48"/>
  <c r="H29" i="48"/>
  <c r="F29" i="48"/>
  <c r="D29" i="48"/>
  <c r="P23" i="48"/>
  <c r="Z21" i="48"/>
  <c r="Z23" i="48" s="1"/>
  <c r="X21" i="48"/>
  <c r="T21" i="48"/>
  <c r="T23" i="48" s="1"/>
  <c r="R21" i="48"/>
  <c r="R23" i="48" s="1"/>
  <c r="P21" i="48"/>
  <c r="N21" i="48"/>
  <c r="N23" i="48" s="1"/>
  <c r="L21" i="48"/>
  <c r="L23" i="48" s="1"/>
  <c r="L30" i="48" s="1"/>
  <c r="J21" i="48"/>
  <c r="J23" i="48" s="1"/>
  <c r="H21" i="48"/>
  <c r="H23" i="48" s="1"/>
  <c r="F21" i="48"/>
  <c r="F23" i="48" s="1"/>
  <c r="D21" i="48"/>
  <c r="D23" i="48" s="1"/>
  <c r="AB29" i="47"/>
  <c r="P29" i="47"/>
  <c r="N29" i="47"/>
  <c r="L29" i="47"/>
  <c r="J29" i="47"/>
  <c r="H29" i="47"/>
  <c r="F29" i="47"/>
  <c r="D29" i="47"/>
  <c r="Z21" i="47"/>
  <c r="Z23" i="47" s="1"/>
  <c r="X21" i="47"/>
  <c r="X23" i="47" s="1"/>
  <c r="X29" i="47" s="1"/>
  <c r="X30" i="47" s="1"/>
  <c r="V21" i="47"/>
  <c r="V23" i="47" s="1"/>
  <c r="T21" i="47"/>
  <c r="T23" i="47" s="1"/>
  <c r="R21" i="47"/>
  <c r="R23" i="47" s="1"/>
  <c r="P21" i="47"/>
  <c r="P23" i="47" s="1"/>
  <c r="N23" i="47"/>
  <c r="L21" i="47"/>
  <c r="L23" i="47" s="1"/>
  <c r="J21" i="47"/>
  <c r="J23" i="47" s="1"/>
  <c r="H21" i="47"/>
  <c r="H23" i="47" s="1"/>
  <c r="F21" i="47"/>
  <c r="F23" i="47" s="1"/>
  <c r="F30" i="47" s="1"/>
  <c r="D21" i="47"/>
  <c r="D23" i="47" s="1"/>
  <c r="AJ15" i="46"/>
  <c r="AM15" i="46" s="1"/>
  <c r="AJ14" i="46"/>
  <c r="AM14" i="46" s="1"/>
  <c r="AJ13" i="46"/>
  <c r="AM13" i="46" s="1"/>
  <c r="AJ12" i="46"/>
  <c r="AM12" i="46" s="1"/>
  <c r="AJ11" i="46"/>
  <c r="AM11" i="46" s="1"/>
  <c r="AJ10" i="46"/>
  <c r="AM10" i="46" s="1"/>
  <c r="F21" i="46"/>
  <c r="F23" i="46" s="1"/>
  <c r="F29" i="46" s="1"/>
  <c r="D21" i="46"/>
  <c r="D23" i="46" s="1"/>
  <c r="AB28" i="46"/>
  <c r="H28" i="46"/>
  <c r="F28" i="46"/>
  <c r="D24" i="46"/>
  <c r="D28" i="46" s="1"/>
  <c r="Z21" i="46"/>
  <c r="X21" i="46"/>
  <c r="X23" i="46" s="1"/>
  <c r="X24" i="46" s="1"/>
  <c r="X28" i="46" s="1"/>
  <c r="V21" i="46"/>
  <c r="V23" i="46" s="1"/>
  <c r="T21" i="46"/>
  <c r="T23" i="46" s="1"/>
  <c r="R21" i="46"/>
  <c r="R23" i="46" s="1"/>
  <c r="R24" i="46" s="1"/>
  <c r="R28" i="46" s="1"/>
  <c r="L21" i="46"/>
  <c r="L23" i="46" s="1"/>
  <c r="H21" i="46"/>
  <c r="H23" i="46" s="1"/>
  <c r="P15" i="46"/>
  <c r="P21" i="46" s="1"/>
  <c r="P23" i="46" s="1"/>
  <c r="N15" i="46"/>
  <c r="N21" i="46" s="1"/>
  <c r="N23" i="46" s="1"/>
  <c r="J15" i="46"/>
  <c r="J21" i="46" s="1"/>
  <c r="N21" i="45"/>
  <c r="N23" i="45" s="1"/>
  <c r="Z21" i="13"/>
  <c r="Z23" i="13" s="1"/>
  <c r="Z24" i="13" s="1"/>
  <c r="Z29" i="13" s="1"/>
  <c r="Z21" i="5"/>
  <c r="Z23" i="5" s="1"/>
  <c r="Z24" i="5" s="1"/>
  <c r="Z29" i="5" s="1"/>
  <c r="Z21" i="18"/>
  <c r="Z23" i="18" s="1"/>
  <c r="Z24" i="18" s="1"/>
  <c r="Z29" i="18" s="1"/>
  <c r="Z30" i="31"/>
  <c r="AB29" i="45"/>
  <c r="Z21" i="45"/>
  <c r="Z23" i="45" s="1"/>
  <c r="X21" i="45"/>
  <c r="X23" i="45" s="1"/>
  <c r="X24" i="45" s="1"/>
  <c r="X29" i="45" s="1"/>
  <c r="X30" i="45" s="1"/>
  <c r="V21" i="45"/>
  <c r="V23" i="45" s="1"/>
  <c r="T21" i="45"/>
  <c r="T23" i="45" s="1"/>
  <c r="R21" i="45"/>
  <c r="R23" i="45" s="1"/>
  <c r="P21" i="45"/>
  <c r="P23" i="45" s="1"/>
  <c r="P24" i="45" s="1"/>
  <c r="P29" i="45" s="1"/>
  <c r="L21" i="45"/>
  <c r="L23" i="45" s="1"/>
  <c r="J21" i="45"/>
  <c r="J23" i="45" s="1"/>
  <c r="H21" i="45"/>
  <c r="H23" i="45" s="1"/>
  <c r="F21" i="45"/>
  <c r="F23" i="45" s="1"/>
  <c r="D21" i="45"/>
  <c r="D23" i="45" s="1"/>
  <c r="Z21" i="44"/>
  <c r="Z23" i="44" s="1"/>
  <c r="AB29" i="44"/>
  <c r="T21" i="44"/>
  <c r="T23" i="44" s="1"/>
  <c r="R21" i="44"/>
  <c r="R23" i="44" s="1"/>
  <c r="P21" i="44"/>
  <c r="P23" i="44" s="1"/>
  <c r="N21" i="44"/>
  <c r="N23" i="44" s="1"/>
  <c r="L21" i="44"/>
  <c r="L23" i="44" s="1"/>
  <c r="J21" i="44"/>
  <c r="J23" i="44" s="1"/>
  <c r="H21" i="44"/>
  <c r="H23" i="44" s="1"/>
  <c r="F21" i="44"/>
  <c r="F23" i="44" s="1"/>
  <c r="D21" i="44"/>
  <c r="D23" i="44" s="1"/>
  <c r="J21" i="35"/>
  <c r="J23" i="35"/>
  <c r="V21" i="39"/>
  <c r="V23" i="39" s="1"/>
  <c r="T21" i="39"/>
  <c r="T23" i="39" s="1"/>
  <c r="AF19" i="39"/>
  <c r="X21" i="42"/>
  <c r="X23" i="42" s="1"/>
  <c r="X24" i="42" s="1"/>
  <c r="X29" i="42" s="1"/>
  <c r="V21" i="42"/>
  <c r="T21" i="42"/>
  <c r="T23" i="42" s="1"/>
  <c r="T24" i="42" s="1"/>
  <c r="T29" i="42" s="1"/>
  <c r="R21" i="42"/>
  <c r="R23" i="42" s="1"/>
  <c r="AE17" i="42"/>
  <c r="V21" i="13"/>
  <c r="V23" i="13" s="1"/>
  <c r="V24" i="13" s="1"/>
  <c r="V29" i="13" s="1"/>
  <c r="T21" i="13"/>
  <c r="T23" i="13" s="1"/>
  <c r="T24" i="13" s="1"/>
  <c r="T29" i="13" s="1"/>
  <c r="N21" i="13"/>
  <c r="N23" i="13" s="1"/>
  <c r="N24" i="13" s="1"/>
  <c r="N29" i="13" s="1"/>
  <c r="J21" i="13"/>
  <c r="J23" i="13" s="1"/>
  <c r="J24" i="13" s="1"/>
  <c r="J29" i="13" s="1"/>
  <c r="AF19" i="13"/>
  <c r="F21" i="13"/>
  <c r="F23" i="13" s="1"/>
  <c r="F24" i="13" s="1"/>
  <c r="F29" i="13" s="1"/>
  <c r="V21" i="5"/>
  <c r="V23" i="5" s="1"/>
  <c r="V24" i="5" s="1"/>
  <c r="V29" i="5" s="1"/>
  <c r="T21" i="5"/>
  <c r="J21" i="5"/>
  <c r="J23" i="5" s="1"/>
  <c r="J24" i="5" s="1"/>
  <c r="J29" i="5" s="1"/>
  <c r="F21" i="5"/>
  <c r="F23" i="5" s="1"/>
  <c r="F24" i="5" s="1"/>
  <c r="F29" i="5" s="1"/>
  <c r="X21" i="18"/>
  <c r="V21" i="18"/>
  <c r="V23" i="18" s="1"/>
  <c r="V24" i="18" s="1"/>
  <c r="V29" i="18" s="1"/>
  <c r="T21" i="18"/>
  <c r="T23" i="18" s="1"/>
  <c r="T24" i="18" s="1"/>
  <c r="T29" i="18" s="1"/>
  <c r="R21" i="18"/>
  <c r="R23" i="18" s="1"/>
  <c r="R24" i="18" s="1"/>
  <c r="R29" i="18" s="1"/>
  <c r="P21" i="18"/>
  <c r="J21" i="18"/>
  <c r="D21" i="18"/>
  <c r="D23" i="18" s="1"/>
  <c r="D24" i="18" s="1"/>
  <c r="D29" i="18" s="1"/>
  <c r="V21" i="14"/>
  <c r="V23" i="14" s="1"/>
  <c r="V24" i="14" s="1"/>
  <c r="V29" i="14" s="1"/>
  <c r="T21" i="14"/>
  <c r="T23" i="14" s="1"/>
  <c r="R21" i="14"/>
  <c r="R23" i="14" s="1"/>
  <c r="R24" i="14" s="1"/>
  <c r="R29" i="14" s="1"/>
  <c r="N21" i="14"/>
  <c r="J21" i="41"/>
  <c r="J23" i="41" s="1"/>
  <c r="J29" i="41" s="1"/>
  <c r="D21" i="41"/>
  <c r="D23" i="41" s="1"/>
  <c r="D21" i="43"/>
  <c r="D23" i="43" s="1"/>
  <c r="AB29" i="43"/>
  <c r="V23" i="43"/>
  <c r="Z21" i="43"/>
  <c r="Z23" i="43" s="1"/>
  <c r="X21" i="43"/>
  <c r="X23" i="43" s="1"/>
  <c r="X24" i="43" s="1"/>
  <c r="X29" i="43" s="1"/>
  <c r="X30" i="43" s="1"/>
  <c r="V21" i="43"/>
  <c r="T21" i="43"/>
  <c r="T23" i="43" s="1"/>
  <c r="R21" i="43"/>
  <c r="R23" i="43" s="1"/>
  <c r="P21" i="43"/>
  <c r="P23" i="43" s="1"/>
  <c r="N21" i="43"/>
  <c r="N23" i="43" s="1"/>
  <c r="L21" i="43"/>
  <c r="L23" i="43" s="1"/>
  <c r="J21" i="43"/>
  <c r="J23" i="43" s="1"/>
  <c r="H21" i="43"/>
  <c r="H23" i="43" s="1"/>
  <c r="H24" i="43" s="1"/>
  <c r="H29" i="43" s="1"/>
  <c r="H30" i="43" s="1"/>
  <c r="F21" i="43"/>
  <c r="F23" i="43" s="1"/>
  <c r="D21" i="34"/>
  <c r="D23" i="34" s="1"/>
  <c r="W21" i="3"/>
  <c r="U31" i="3"/>
  <c r="U21" i="3"/>
  <c r="Q31" i="3"/>
  <c r="Q21" i="3"/>
  <c r="O30" i="3"/>
  <c r="O31" i="3" s="1"/>
  <c r="O21" i="3"/>
  <c r="M30" i="3"/>
  <c r="M31" i="3" s="1"/>
  <c r="M21" i="3"/>
  <c r="K30" i="3"/>
  <c r="K21" i="3"/>
  <c r="K24" i="3" s="1"/>
  <c r="T30" i="23"/>
  <c r="R21" i="23"/>
  <c r="R24" i="23" s="1"/>
  <c r="X21" i="6"/>
  <c r="N21" i="6"/>
  <c r="N23" i="6" s="1"/>
  <c r="N24" i="6" s="1"/>
  <c r="N29" i="6" s="1"/>
  <c r="R21" i="10"/>
  <c r="R23" i="10" s="1"/>
  <c r="R24" i="10" s="1"/>
  <c r="R28" i="10" s="1"/>
  <c r="L21" i="10"/>
  <c r="L23" i="10" s="1"/>
  <c r="L24" i="10" s="1"/>
  <c r="F21" i="10"/>
  <c r="F23" i="10" s="1"/>
  <c r="D21" i="10"/>
  <c r="R21" i="7"/>
  <c r="R23" i="7" s="1"/>
  <c r="R24" i="7" s="1"/>
  <c r="R29" i="7" s="1"/>
  <c r="T21" i="7"/>
  <c r="T23" i="7" s="1"/>
  <c r="T24" i="7" s="1"/>
  <c r="T29" i="7" s="1"/>
  <c r="X21" i="11"/>
  <c r="X23" i="11" s="1"/>
  <c r="X24" i="11" s="1"/>
  <c r="X29" i="11" s="1"/>
  <c r="T21" i="11"/>
  <c r="T23" i="11" s="1"/>
  <c r="R21" i="11"/>
  <c r="R23" i="11" s="1"/>
  <c r="R24" i="11" s="1"/>
  <c r="R29" i="11" s="1"/>
  <c r="Z21" i="34"/>
  <c r="Z23" i="34" s="1"/>
  <c r="X21" i="34"/>
  <c r="X23" i="34" s="1"/>
  <c r="X24" i="34" s="1"/>
  <c r="X29" i="34" s="1"/>
  <c r="V21" i="34"/>
  <c r="V23" i="34" s="1"/>
  <c r="T21" i="34"/>
  <c r="T23" i="34" s="1"/>
  <c r="R21" i="34"/>
  <c r="R23" i="34" s="1"/>
  <c r="Z21" i="9"/>
  <c r="Z23" i="9" s="1"/>
  <c r="Z24" i="9" s="1"/>
  <c r="Z29" i="9" s="1"/>
  <c r="X21" i="9"/>
  <c r="X23" i="9" s="1"/>
  <c r="X24" i="9" s="1"/>
  <c r="X29" i="9" s="1"/>
  <c r="V21" i="9"/>
  <c r="V23" i="9" s="1"/>
  <c r="V24" i="9" s="1"/>
  <c r="V29" i="9" s="1"/>
  <c r="R21" i="9"/>
  <c r="V21" i="12"/>
  <c r="V23" i="12" s="1"/>
  <c r="V24" i="12" s="1"/>
  <c r="T21" i="12"/>
  <c r="T23" i="12" s="1"/>
  <c r="T24" i="12" s="1"/>
  <c r="R21" i="12"/>
  <c r="R23" i="12" s="1"/>
  <c r="R24" i="12" s="1"/>
  <c r="Z21" i="10"/>
  <c r="X21" i="10"/>
  <c r="X23" i="10" s="1"/>
  <c r="X24" i="10" s="1"/>
  <c r="X28" i="10" s="1"/>
  <c r="V21" i="10"/>
  <c r="V23" i="10" s="1"/>
  <c r="V24" i="10" s="1"/>
  <c r="V28" i="10" s="1"/>
  <c r="T21" i="10"/>
  <c r="T23" i="10" s="1"/>
  <c r="T24" i="10" s="1"/>
  <c r="P15" i="10"/>
  <c r="P21" i="10" s="1"/>
  <c r="P23" i="10" s="1"/>
  <c r="P24" i="10" s="1"/>
  <c r="P28" i="10" s="1"/>
  <c r="N15" i="10"/>
  <c r="N21" i="10" s="1"/>
  <c r="N23" i="10" s="1"/>
  <c r="N24" i="10" s="1"/>
  <c r="N28" i="10" s="1"/>
  <c r="J15" i="10"/>
  <c r="J21" i="10" s="1"/>
  <c r="H21" i="10"/>
  <c r="N21" i="12"/>
  <c r="D23" i="39"/>
  <c r="AB29" i="42"/>
  <c r="D23" i="42"/>
  <c r="D24" i="42" s="1"/>
  <c r="D29" i="42" s="1"/>
  <c r="Z21" i="42"/>
  <c r="Z23" i="42" s="1"/>
  <c r="V23" i="42"/>
  <c r="P21" i="42"/>
  <c r="P23" i="42" s="1"/>
  <c r="N21" i="42"/>
  <c r="N23" i="42" s="1"/>
  <c r="L21" i="42"/>
  <c r="L23" i="42" s="1"/>
  <c r="J21" i="42"/>
  <c r="J23" i="42" s="1"/>
  <c r="H21" i="42"/>
  <c r="H23" i="42" s="1"/>
  <c r="F21" i="42"/>
  <c r="F23" i="42" s="1"/>
  <c r="D21" i="42"/>
  <c r="H21" i="39"/>
  <c r="J21" i="39"/>
  <c r="D21" i="36"/>
  <c r="F29" i="35"/>
  <c r="D21" i="35"/>
  <c r="D23" i="35" s="1"/>
  <c r="AB29" i="41"/>
  <c r="D29" i="41"/>
  <c r="Z21" i="41"/>
  <c r="Z23" i="41" s="1"/>
  <c r="X21" i="41"/>
  <c r="X23" i="41" s="1"/>
  <c r="X29" i="41" s="1"/>
  <c r="V21" i="41"/>
  <c r="V23" i="41" s="1"/>
  <c r="T21" i="41"/>
  <c r="T23" i="41" s="1"/>
  <c r="R21" i="41"/>
  <c r="R23" i="41" s="1"/>
  <c r="P21" i="41"/>
  <c r="P23" i="41" s="1"/>
  <c r="P29" i="41" s="1"/>
  <c r="N21" i="41"/>
  <c r="N23" i="41" s="1"/>
  <c r="L21" i="41"/>
  <c r="L23" i="41" s="1"/>
  <c r="H21" i="41"/>
  <c r="H23" i="41" s="1"/>
  <c r="F21" i="41"/>
  <c r="F23" i="41" s="1"/>
  <c r="F29" i="41" s="1"/>
  <c r="F29" i="37"/>
  <c r="D21" i="37"/>
  <c r="D23" i="37" s="1"/>
  <c r="AB29" i="40"/>
  <c r="Z21" i="40"/>
  <c r="Z23" i="40" s="1"/>
  <c r="X21" i="40"/>
  <c r="X23" i="40" s="1"/>
  <c r="X24" i="40" s="1"/>
  <c r="X29" i="40" s="1"/>
  <c r="V21" i="40"/>
  <c r="V23" i="40" s="1"/>
  <c r="T21" i="40"/>
  <c r="T23" i="40" s="1"/>
  <c r="R21" i="40"/>
  <c r="R23" i="40" s="1"/>
  <c r="P21" i="40"/>
  <c r="P23" i="40" s="1"/>
  <c r="N21" i="40"/>
  <c r="N23" i="40" s="1"/>
  <c r="L21" i="40"/>
  <c r="L23" i="40" s="1"/>
  <c r="J21" i="40"/>
  <c r="J23" i="40" s="1"/>
  <c r="H21" i="40"/>
  <c r="H23" i="40" s="1"/>
  <c r="F21" i="40"/>
  <c r="F23" i="40" s="1"/>
  <c r="F24" i="40" s="1"/>
  <c r="D21" i="40"/>
  <c r="D23" i="40" s="1"/>
  <c r="AB29" i="39"/>
  <c r="Z21" i="39"/>
  <c r="Z23" i="39" s="1"/>
  <c r="Z24" i="39" s="1"/>
  <c r="X21" i="39"/>
  <c r="X23" i="39" s="1"/>
  <c r="X24" i="39" s="1"/>
  <c r="X29" i="39" s="1"/>
  <c r="X30" i="39" s="1"/>
  <c r="R21" i="39"/>
  <c r="R23" i="39" s="1"/>
  <c r="P21" i="39"/>
  <c r="P23" i="39" s="1"/>
  <c r="N21" i="39"/>
  <c r="N23" i="39" s="1"/>
  <c r="L21" i="39"/>
  <c r="L23" i="39" s="1"/>
  <c r="F21" i="39"/>
  <c r="F23" i="39" s="1"/>
  <c r="D21" i="39"/>
  <c r="AB29" i="37"/>
  <c r="Z21" i="37"/>
  <c r="Z23" i="37" s="1"/>
  <c r="X21" i="37"/>
  <c r="X23" i="37" s="1"/>
  <c r="X24" i="37" s="1"/>
  <c r="X29" i="37" s="1"/>
  <c r="V21" i="37"/>
  <c r="V23" i="37" s="1"/>
  <c r="T21" i="37"/>
  <c r="T23" i="37" s="1"/>
  <c r="R21" i="37"/>
  <c r="R23" i="37" s="1"/>
  <c r="P21" i="37"/>
  <c r="P23" i="37" s="1"/>
  <c r="N21" i="37"/>
  <c r="N23" i="37" s="1"/>
  <c r="L21" i="37"/>
  <c r="L23" i="37" s="1"/>
  <c r="J21" i="37"/>
  <c r="J23" i="37" s="1"/>
  <c r="H21" i="37"/>
  <c r="H23" i="37" s="1"/>
  <c r="F21" i="37"/>
  <c r="F23" i="37" s="1"/>
  <c r="AB29" i="36"/>
  <c r="Z21" i="36"/>
  <c r="Z23" i="36" s="1"/>
  <c r="X21" i="36"/>
  <c r="X23" i="36" s="1"/>
  <c r="X24" i="36" s="1"/>
  <c r="X29" i="36" s="1"/>
  <c r="V21" i="36"/>
  <c r="V23" i="36" s="1"/>
  <c r="T21" i="36"/>
  <c r="T23" i="36" s="1"/>
  <c r="R21" i="36"/>
  <c r="R23" i="36" s="1"/>
  <c r="P21" i="36"/>
  <c r="P23" i="36" s="1"/>
  <c r="N21" i="36"/>
  <c r="N23" i="36" s="1"/>
  <c r="L21" i="36"/>
  <c r="L23" i="36" s="1"/>
  <c r="J21" i="36"/>
  <c r="J23" i="36" s="1"/>
  <c r="H21" i="36"/>
  <c r="H23" i="36" s="1"/>
  <c r="F21" i="36"/>
  <c r="F23" i="36" s="1"/>
  <c r="AB29" i="35"/>
  <c r="Z21" i="35"/>
  <c r="Z23" i="35" s="1"/>
  <c r="X21" i="35"/>
  <c r="V21" i="35"/>
  <c r="V23" i="35" s="1"/>
  <c r="T21" i="35"/>
  <c r="T23" i="35" s="1"/>
  <c r="R21" i="35"/>
  <c r="R23" i="35" s="1"/>
  <c r="P21" i="35"/>
  <c r="P23" i="35" s="1"/>
  <c r="P24" i="35" s="1"/>
  <c r="P29" i="35" s="1"/>
  <c r="N21" i="35"/>
  <c r="N23" i="35" s="1"/>
  <c r="L21" i="35"/>
  <c r="L23" i="35" s="1"/>
  <c r="H21" i="35"/>
  <c r="H23" i="35" s="1"/>
  <c r="H24" i="35" s="1"/>
  <c r="H29" i="35" s="1"/>
  <c r="F21" i="35"/>
  <c r="F23" i="35" s="1"/>
  <c r="AB29" i="34"/>
  <c r="P21" i="34"/>
  <c r="P23" i="34" s="1"/>
  <c r="N21" i="34"/>
  <c r="N23" i="34" s="1"/>
  <c r="N24" i="34" s="1"/>
  <c r="N29" i="34" s="1"/>
  <c r="L21" i="34"/>
  <c r="L23" i="34" s="1"/>
  <c r="J21" i="34"/>
  <c r="J23" i="34" s="1"/>
  <c r="H21" i="34"/>
  <c r="H23" i="34" s="1"/>
  <c r="F21" i="34"/>
  <c r="F23" i="34" s="1"/>
  <c r="I30" i="3"/>
  <c r="I31" i="3" s="1"/>
  <c r="I21" i="3"/>
  <c r="G21" i="3"/>
  <c r="G30" i="3"/>
  <c r="G31" i="3" s="1"/>
  <c r="E30" i="3"/>
  <c r="E31" i="3" s="1"/>
  <c r="E21" i="3"/>
  <c r="C30" i="3"/>
  <c r="C31" i="3" s="1"/>
  <c r="C21" i="3"/>
  <c r="H21" i="23"/>
  <c r="H24" i="23" s="1"/>
  <c r="H25" i="23" s="1"/>
  <c r="H30" i="23" s="1"/>
  <c r="F21" i="23"/>
  <c r="F24" i="23" s="1"/>
  <c r="F25" i="23" s="1"/>
  <c r="F30" i="23" s="1"/>
  <c r="J21" i="7"/>
  <c r="J23" i="7" s="1"/>
  <c r="J24" i="7" s="1"/>
  <c r="J29" i="7" s="1"/>
  <c r="F21" i="7"/>
  <c r="F23" i="7" s="1"/>
  <c r="F24" i="7" s="1"/>
  <c r="F29" i="7" s="1"/>
  <c r="D21" i="7"/>
  <c r="D23" i="7" s="1"/>
  <c r="D24" i="7" s="1"/>
  <c r="D29" i="7" s="1"/>
  <c r="J21" i="6"/>
  <c r="J23" i="6" s="1"/>
  <c r="J24" i="6" s="1"/>
  <c r="J29" i="6" s="1"/>
  <c r="V30" i="23"/>
  <c r="P30" i="23"/>
  <c r="N30" i="23"/>
  <c r="D21" i="14"/>
  <c r="D23" i="14" s="1"/>
  <c r="D24" i="14" s="1"/>
  <c r="AB30" i="31"/>
  <c r="X30" i="31"/>
  <c r="V30" i="31"/>
  <c r="T30" i="31"/>
  <c r="R30" i="31"/>
  <c r="P30" i="31"/>
  <c r="N30" i="31"/>
  <c r="L30" i="31"/>
  <c r="J30" i="31"/>
  <c r="H30" i="31"/>
  <c r="F30" i="31"/>
  <c r="D30" i="31"/>
  <c r="Z21" i="31"/>
  <c r="Z24" i="31" s="1"/>
  <c r="X21" i="31"/>
  <c r="X24" i="31" s="1"/>
  <c r="V21" i="31"/>
  <c r="V24" i="31" s="1"/>
  <c r="T21" i="31"/>
  <c r="T24" i="31" s="1"/>
  <c r="R21" i="31"/>
  <c r="R24" i="31" s="1"/>
  <c r="P21" i="31"/>
  <c r="P24" i="31" s="1"/>
  <c r="N21" i="31"/>
  <c r="N24" i="31" s="1"/>
  <c r="L21" i="31"/>
  <c r="L24" i="31" s="1"/>
  <c r="J21" i="31"/>
  <c r="J24" i="31" s="1"/>
  <c r="H21" i="31"/>
  <c r="H24" i="31" s="1"/>
  <c r="F21" i="31"/>
  <c r="F24" i="31" s="1"/>
  <c r="AB30" i="30"/>
  <c r="Z30" i="30"/>
  <c r="X30" i="30"/>
  <c r="V30" i="30"/>
  <c r="T30" i="30"/>
  <c r="R30" i="30"/>
  <c r="N30" i="30"/>
  <c r="J30" i="30"/>
  <c r="H30" i="30"/>
  <c r="F30" i="30"/>
  <c r="D30" i="30"/>
  <c r="Z21" i="30"/>
  <c r="Z24" i="30" s="1"/>
  <c r="X21" i="30"/>
  <c r="V21" i="30"/>
  <c r="V24" i="30" s="1"/>
  <c r="T21" i="30"/>
  <c r="T24" i="30" s="1"/>
  <c r="R21" i="30"/>
  <c r="R24" i="30" s="1"/>
  <c r="N21" i="30"/>
  <c r="N24" i="30" s="1"/>
  <c r="L21" i="30"/>
  <c r="L24" i="30" s="1"/>
  <c r="L31" i="30" s="1"/>
  <c r="J21" i="30"/>
  <c r="J24" i="30" s="1"/>
  <c r="H21" i="30"/>
  <c r="H24" i="30" s="1"/>
  <c r="F21" i="30"/>
  <c r="F24" i="30" s="1"/>
  <c r="D21" i="30"/>
  <c r="AB30" i="23"/>
  <c r="Z30" i="23"/>
  <c r="X30" i="23"/>
  <c r="R30" i="23"/>
  <c r="L30" i="23"/>
  <c r="Z21" i="23"/>
  <c r="Z24" i="23" s="1"/>
  <c r="X21" i="23"/>
  <c r="V21" i="23"/>
  <c r="V24" i="23" s="1"/>
  <c r="T21" i="23"/>
  <c r="T24" i="23" s="1"/>
  <c r="N21" i="23"/>
  <c r="N24" i="23" s="1"/>
  <c r="L21" i="23"/>
  <c r="J21" i="23"/>
  <c r="J24" i="23" s="1"/>
  <c r="J25" i="23" s="1"/>
  <c r="J30" i="23" s="1"/>
  <c r="D21" i="6"/>
  <c r="D23" i="6" s="1"/>
  <c r="D24" i="6" s="1"/>
  <c r="D29" i="6" s="1"/>
  <c r="J21" i="11"/>
  <c r="J23" i="11" s="1"/>
  <c r="J24" i="11" s="1"/>
  <c r="J29" i="11" s="1"/>
  <c r="D21" i="11"/>
  <c r="D23" i="11" s="1"/>
  <c r="D24" i="11" s="1"/>
  <c r="D29" i="11" s="1"/>
  <c r="J21" i="9"/>
  <c r="J23" i="9" s="1"/>
  <c r="J24" i="9" s="1"/>
  <c r="J29" i="9" s="1"/>
  <c r="H21" i="9"/>
  <c r="H23" i="9" s="1"/>
  <c r="H24" i="9" s="1"/>
  <c r="H29" i="9" s="1"/>
  <c r="F29" i="9"/>
  <c r="F21" i="9"/>
  <c r="F23" i="9" s="1"/>
  <c r="D21" i="9"/>
  <c r="D23" i="9" s="1"/>
  <c r="D24" i="9" s="1"/>
  <c r="F28" i="10"/>
  <c r="H28" i="10"/>
  <c r="D21" i="12"/>
  <c r="D23" i="12" s="1"/>
  <c r="D24" i="10"/>
  <c r="D28" i="10" s="1"/>
  <c r="H21" i="12"/>
  <c r="H23" i="12" s="1"/>
  <c r="H24" i="12" s="1"/>
  <c r="F21" i="12"/>
  <c r="F23" i="12" s="1"/>
  <c r="F24" i="12" s="1"/>
  <c r="Z21" i="15"/>
  <c r="Z23" i="15" s="1"/>
  <c r="Z24" i="15" s="1"/>
  <c r="Z29" i="15" s="1"/>
  <c r="X21" i="15"/>
  <c r="X23" i="15" s="1"/>
  <c r="X24" i="15" s="1"/>
  <c r="X29" i="15" s="1"/>
  <c r="X30" i="15" s="1"/>
  <c r="V21" i="15"/>
  <c r="V23" i="15" s="1"/>
  <c r="V24" i="15" s="1"/>
  <c r="V29" i="15" s="1"/>
  <c r="V30" i="15" s="1"/>
  <c r="T21" i="15"/>
  <c r="T23" i="15" s="1"/>
  <c r="T24" i="15" s="1"/>
  <c r="T29" i="15" s="1"/>
  <c r="T30" i="15" s="1"/>
  <c r="R21" i="15"/>
  <c r="R23" i="15" s="1"/>
  <c r="P21" i="15"/>
  <c r="P23" i="15" s="1"/>
  <c r="N21" i="15"/>
  <c r="N23" i="15" s="1"/>
  <c r="L21" i="15"/>
  <c r="L23" i="15" s="1"/>
  <c r="J21" i="15"/>
  <c r="J23" i="15" s="1"/>
  <c r="J24" i="15" s="1"/>
  <c r="J29" i="15" s="1"/>
  <c r="J30" i="15" s="1"/>
  <c r="H21" i="15"/>
  <c r="H23" i="15" s="1"/>
  <c r="H24" i="15" s="1"/>
  <c r="H29" i="15" s="1"/>
  <c r="H30" i="15" s="1"/>
  <c r="F21" i="15"/>
  <c r="F23" i="15" s="1"/>
  <c r="F24" i="15" s="1"/>
  <c r="F29" i="15" s="1"/>
  <c r="F30" i="15" s="1"/>
  <c r="D21" i="15"/>
  <c r="D23" i="15" s="1"/>
  <c r="D24" i="15" s="1"/>
  <c r="D29" i="15" s="1"/>
  <c r="D30" i="15" s="1"/>
  <c r="Z21" i="14"/>
  <c r="Z23" i="14" s="1"/>
  <c r="Z24" i="14" s="1"/>
  <c r="Z29" i="14" s="1"/>
  <c r="X21" i="14"/>
  <c r="X23" i="14" s="1"/>
  <c r="X24" i="14" s="1"/>
  <c r="X29" i="14" s="1"/>
  <c r="P21" i="14"/>
  <c r="P23" i="14" s="1"/>
  <c r="P24" i="14" s="1"/>
  <c r="P29" i="14" s="1"/>
  <c r="N23" i="14"/>
  <c r="N24" i="14" s="1"/>
  <c r="N29" i="14" s="1"/>
  <c r="L21" i="14"/>
  <c r="L23" i="14" s="1"/>
  <c r="L24" i="14" s="1"/>
  <c r="L29" i="14" s="1"/>
  <c r="J21" i="14"/>
  <c r="J23" i="14" s="1"/>
  <c r="J24" i="14" s="1"/>
  <c r="H21" i="14"/>
  <c r="H23" i="14" s="1"/>
  <c r="H24" i="14" s="1"/>
  <c r="F21" i="14"/>
  <c r="F23" i="14" s="1"/>
  <c r="F24" i="14" s="1"/>
  <c r="X21" i="13"/>
  <c r="X23" i="13" s="1"/>
  <c r="X24" i="13" s="1"/>
  <c r="X29" i="13" s="1"/>
  <c r="R21" i="13"/>
  <c r="R23" i="13" s="1"/>
  <c r="R24" i="13" s="1"/>
  <c r="R29" i="13" s="1"/>
  <c r="P21" i="13"/>
  <c r="P23" i="13" s="1"/>
  <c r="P24" i="13" s="1"/>
  <c r="P29" i="13" s="1"/>
  <c r="L21" i="13"/>
  <c r="L23" i="13" s="1"/>
  <c r="L24" i="13" s="1"/>
  <c r="L29" i="13" s="1"/>
  <c r="H21" i="13"/>
  <c r="H23" i="13" s="1"/>
  <c r="H24" i="13" s="1"/>
  <c r="H29" i="13" s="1"/>
  <c r="D21" i="13"/>
  <c r="D23" i="13" s="1"/>
  <c r="D24" i="13" s="1"/>
  <c r="D29" i="13" s="1"/>
  <c r="X21" i="5"/>
  <c r="X23" i="5" s="1"/>
  <c r="X24" i="5" s="1"/>
  <c r="X29" i="5" s="1"/>
  <c r="T23" i="5"/>
  <c r="T24" i="5" s="1"/>
  <c r="T29" i="5" s="1"/>
  <c r="R21" i="5"/>
  <c r="R23" i="5" s="1"/>
  <c r="R24" i="5" s="1"/>
  <c r="R29" i="5" s="1"/>
  <c r="P21" i="5"/>
  <c r="P23" i="5" s="1"/>
  <c r="P24" i="5" s="1"/>
  <c r="P29" i="5" s="1"/>
  <c r="N21" i="5"/>
  <c r="N23" i="5" s="1"/>
  <c r="N24" i="5" s="1"/>
  <c r="N29" i="5" s="1"/>
  <c r="L21" i="5"/>
  <c r="L23" i="5" s="1"/>
  <c r="L24" i="5" s="1"/>
  <c r="L29" i="5" s="1"/>
  <c r="H21" i="5"/>
  <c r="H23" i="5" s="1"/>
  <c r="H24" i="5" s="1"/>
  <c r="H29" i="5" s="1"/>
  <c r="D21" i="5"/>
  <c r="D23" i="5" s="1"/>
  <c r="D24" i="5" s="1"/>
  <c r="D29" i="5" s="1"/>
  <c r="X23" i="18"/>
  <c r="X24" i="18" s="1"/>
  <c r="X29" i="18" s="1"/>
  <c r="P23" i="18"/>
  <c r="P24" i="18" s="1"/>
  <c r="P29" i="18" s="1"/>
  <c r="N21" i="18"/>
  <c r="N23" i="18" s="1"/>
  <c r="N24" i="18" s="1"/>
  <c r="L21" i="18"/>
  <c r="L23" i="18" s="1"/>
  <c r="L24" i="18" s="1"/>
  <c r="L29" i="18" s="1"/>
  <c r="J23" i="18"/>
  <c r="J24" i="18" s="1"/>
  <c r="J29" i="18" s="1"/>
  <c r="H21" i="18"/>
  <c r="H23" i="18" s="1"/>
  <c r="H24" i="18" s="1"/>
  <c r="H29" i="18" s="1"/>
  <c r="F21" i="18"/>
  <c r="F23" i="18" s="1"/>
  <c r="F24" i="18" s="1"/>
  <c r="F29" i="18" s="1"/>
  <c r="Z21" i="6"/>
  <c r="Z23" i="6" s="1"/>
  <c r="Z24" i="6" s="1"/>
  <c r="Z29" i="6" s="1"/>
  <c r="X23" i="6"/>
  <c r="X24" i="6" s="1"/>
  <c r="X29" i="6" s="1"/>
  <c r="X30" i="6" s="1"/>
  <c r="V21" i="6"/>
  <c r="V23" i="6" s="1"/>
  <c r="V24" i="6" s="1"/>
  <c r="V29" i="6" s="1"/>
  <c r="T21" i="6"/>
  <c r="T23" i="6" s="1"/>
  <c r="T24" i="6" s="1"/>
  <c r="T29" i="6" s="1"/>
  <c r="R21" i="6"/>
  <c r="R23" i="6" s="1"/>
  <c r="R24" i="6" s="1"/>
  <c r="R29" i="6" s="1"/>
  <c r="P21" i="6"/>
  <c r="P23" i="6" s="1"/>
  <c r="P24" i="6" s="1"/>
  <c r="P29" i="6" s="1"/>
  <c r="L21" i="6"/>
  <c r="L23" i="6" s="1"/>
  <c r="L24" i="6" s="1"/>
  <c r="L29" i="6" s="1"/>
  <c r="H21" i="6"/>
  <c r="H23" i="6" s="1"/>
  <c r="H24" i="6" s="1"/>
  <c r="H29" i="6" s="1"/>
  <c r="F21" i="6"/>
  <c r="F23" i="6" s="1"/>
  <c r="F24" i="6" s="1"/>
  <c r="F29" i="6" s="1"/>
  <c r="Z21" i="7"/>
  <c r="Z23" i="7" s="1"/>
  <c r="Z24" i="7" s="1"/>
  <c r="Z29" i="7" s="1"/>
  <c r="X21" i="7"/>
  <c r="X23" i="7" s="1"/>
  <c r="X24" i="7" s="1"/>
  <c r="X29" i="7" s="1"/>
  <c r="V21" i="7"/>
  <c r="V23" i="7" s="1"/>
  <c r="V24" i="7" s="1"/>
  <c r="V29" i="7" s="1"/>
  <c r="P21" i="7"/>
  <c r="P23" i="7" s="1"/>
  <c r="P24" i="7" s="1"/>
  <c r="P29" i="7" s="1"/>
  <c r="N21" i="7"/>
  <c r="N23" i="7" s="1"/>
  <c r="N24" i="7" s="1"/>
  <c r="N29" i="7" s="1"/>
  <c r="L21" i="7"/>
  <c r="L23" i="7" s="1"/>
  <c r="L24" i="7" s="1"/>
  <c r="L29" i="7" s="1"/>
  <c r="H21" i="7"/>
  <c r="H23" i="7" s="1"/>
  <c r="H24" i="7" s="1"/>
  <c r="H29" i="7" s="1"/>
  <c r="Z21" i="8"/>
  <c r="Z23" i="8" s="1"/>
  <c r="Z24" i="8" s="1"/>
  <c r="Z29" i="8" s="1"/>
  <c r="X21" i="8"/>
  <c r="X23" i="8" s="1"/>
  <c r="X24" i="8" s="1"/>
  <c r="X29" i="8" s="1"/>
  <c r="V21" i="8"/>
  <c r="V23" i="8" s="1"/>
  <c r="V24" i="8" s="1"/>
  <c r="V29" i="8" s="1"/>
  <c r="T21" i="8"/>
  <c r="T23" i="8" s="1"/>
  <c r="T24" i="8" s="1"/>
  <c r="T29" i="8" s="1"/>
  <c r="R21" i="8"/>
  <c r="R23" i="8" s="1"/>
  <c r="R24" i="8" s="1"/>
  <c r="R29" i="8" s="1"/>
  <c r="P21" i="8"/>
  <c r="P23" i="8" s="1"/>
  <c r="P24" i="8" s="1"/>
  <c r="P29" i="8" s="1"/>
  <c r="N21" i="8"/>
  <c r="N23" i="8" s="1"/>
  <c r="N24" i="8" s="1"/>
  <c r="N29" i="8" s="1"/>
  <c r="L21" i="8"/>
  <c r="L23" i="8" s="1"/>
  <c r="L24" i="8" s="1"/>
  <c r="L29" i="8" s="1"/>
  <c r="J21" i="8"/>
  <c r="J23" i="8" s="1"/>
  <c r="J24" i="8" s="1"/>
  <c r="J29" i="8" s="1"/>
  <c r="H21" i="8"/>
  <c r="H23" i="8" s="1"/>
  <c r="H24" i="8" s="1"/>
  <c r="H29" i="8" s="1"/>
  <c r="F21" i="8"/>
  <c r="F23" i="8" s="1"/>
  <c r="F24" i="8" s="1"/>
  <c r="F29" i="8" s="1"/>
  <c r="D21" i="8"/>
  <c r="D23" i="8" s="1"/>
  <c r="D24" i="8" s="1"/>
  <c r="D29" i="8" s="1"/>
  <c r="Z21" i="11"/>
  <c r="Z23" i="11" s="1"/>
  <c r="Z24" i="11" s="1"/>
  <c r="Z29" i="11" s="1"/>
  <c r="V21" i="11"/>
  <c r="V23" i="11" s="1"/>
  <c r="V24" i="11" s="1"/>
  <c r="V29" i="11" s="1"/>
  <c r="P21" i="11"/>
  <c r="P23" i="11" s="1"/>
  <c r="P24" i="11" s="1"/>
  <c r="P29" i="11" s="1"/>
  <c r="N21" i="11"/>
  <c r="N23" i="11" s="1"/>
  <c r="N24" i="11" s="1"/>
  <c r="N29" i="11" s="1"/>
  <c r="L21" i="11"/>
  <c r="L23" i="11" s="1"/>
  <c r="L24" i="11" s="1"/>
  <c r="H21" i="11"/>
  <c r="F21" i="11"/>
  <c r="F23" i="11" s="1"/>
  <c r="F24" i="11" s="1"/>
  <c r="F29" i="11" s="1"/>
  <c r="T21" i="9"/>
  <c r="T23" i="9" s="1"/>
  <c r="T24" i="9" s="1"/>
  <c r="T29" i="9" s="1"/>
  <c r="R23" i="9"/>
  <c r="R24" i="9" s="1"/>
  <c r="R29" i="9" s="1"/>
  <c r="P21" i="9"/>
  <c r="P23" i="9" s="1"/>
  <c r="P24" i="9" s="1"/>
  <c r="P29" i="9" s="1"/>
  <c r="N21" i="9"/>
  <c r="N23" i="9" s="1"/>
  <c r="N24" i="9" s="1"/>
  <c r="N29" i="9" s="1"/>
  <c r="L21" i="9"/>
  <c r="L23" i="9" s="1"/>
  <c r="L24" i="9" s="1"/>
  <c r="L29" i="9" s="1"/>
  <c r="J21" i="12"/>
  <c r="J23" i="12" s="1"/>
  <c r="J24" i="12" s="1"/>
  <c r="L21" i="12"/>
  <c r="L23" i="12" s="1"/>
  <c r="L24" i="12" s="1"/>
  <c r="N23" i="12"/>
  <c r="N24" i="12" s="1"/>
  <c r="P21" i="12"/>
  <c r="P23" i="12" s="1"/>
  <c r="P24" i="12" s="1"/>
  <c r="X21" i="12"/>
  <c r="X23" i="12" s="1"/>
  <c r="X24" i="12" s="1"/>
  <c r="Z21" i="12"/>
  <c r="Z23" i="12" s="1"/>
  <c r="Z24" i="12" s="1"/>
  <c r="Z21" i="20"/>
  <c r="Z23" i="20" s="1"/>
  <c r="X21" i="20"/>
  <c r="V21" i="20"/>
  <c r="V23" i="20" s="1"/>
  <c r="T21" i="20"/>
  <c r="T23" i="20" s="1"/>
  <c r="R21" i="20"/>
  <c r="R23" i="20" s="1"/>
  <c r="R29" i="20" s="1"/>
  <c r="P21" i="20"/>
  <c r="P23" i="20" s="1"/>
  <c r="N21" i="20"/>
  <c r="N23" i="20" s="1"/>
  <c r="L21" i="20"/>
  <c r="L23" i="20" s="1"/>
  <c r="J21" i="20"/>
  <c r="J23" i="20" s="1"/>
  <c r="H21" i="20"/>
  <c r="H23" i="20" s="1"/>
  <c r="F21" i="20"/>
  <c r="F23" i="20" s="1"/>
  <c r="F21" i="21"/>
  <c r="F23" i="21" s="1"/>
  <c r="H21" i="21"/>
  <c r="H23" i="21" s="1"/>
  <c r="J21" i="21"/>
  <c r="J23" i="21" s="1"/>
  <c r="L21" i="21"/>
  <c r="L23" i="21" s="1"/>
  <c r="N21" i="21"/>
  <c r="N23" i="21" s="1"/>
  <c r="P21" i="21"/>
  <c r="P23" i="21" s="1"/>
  <c r="R21" i="21"/>
  <c r="R23" i="21" s="1"/>
  <c r="T21" i="21"/>
  <c r="V21" i="21"/>
  <c r="V23" i="21" s="1"/>
  <c r="X21" i="21"/>
  <c r="X23" i="21" s="1"/>
  <c r="Z21" i="21"/>
  <c r="Z23" i="21" s="1"/>
  <c r="D21" i="21"/>
  <c r="D23" i="21" s="1"/>
  <c r="Z24" i="21"/>
  <c r="Z29" i="21" s="1"/>
  <c r="X24" i="21"/>
  <c r="X29" i="21" s="1"/>
  <c r="V24" i="21"/>
  <c r="V29" i="21" s="1"/>
  <c r="T24" i="21"/>
  <c r="T29" i="21" s="1"/>
  <c r="R24" i="21"/>
  <c r="R29" i="21" s="1"/>
  <c r="P24" i="21"/>
  <c r="P29" i="21" s="1"/>
  <c r="N24" i="21"/>
  <c r="N29" i="21" s="1"/>
  <c r="L24" i="21"/>
  <c r="L29" i="21" s="1"/>
  <c r="J24" i="21"/>
  <c r="J29" i="21" s="1"/>
  <c r="H24" i="21"/>
  <c r="H29" i="21" s="1"/>
  <c r="F24" i="21"/>
  <c r="F29" i="21" s="1"/>
  <c r="T23" i="21"/>
  <c r="D24" i="21"/>
  <c r="D29" i="21" s="1"/>
  <c r="AB7" i="21"/>
  <c r="AB29" i="20"/>
  <c r="D21" i="20"/>
  <c r="Z21" i="17"/>
  <c r="Z23" i="17" s="1"/>
  <c r="X21" i="17"/>
  <c r="X23" i="17" s="1"/>
  <c r="X29" i="17" s="1"/>
  <c r="X30" i="17" s="1"/>
  <c r="V21" i="17"/>
  <c r="V23" i="17" s="1"/>
  <c r="T21" i="17"/>
  <c r="T23" i="17" s="1"/>
  <c r="R21" i="17"/>
  <c r="R23" i="17" s="1"/>
  <c r="P21" i="17"/>
  <c r="P23" i="17" s="1"/>
  <c r="N21" i="17"/>
  <c r="N23" i="17" s="1"/>
  <c r="L21" i="17"/>
  <c r="L23" i="17" s="1"/>
  <c r="J21" i="17"/>
  <c r="J23" i="17" s="1"/>
  <c r="H21" i="17"/>
  <c r="H23" i="17" s="1"/>
  <c r="AB29" i="18"/>
  <c r="AB7" i="18"/>
  <c r="D21" i="16"/>
  <c r="D23" i="16" s="1"/>
  <c r="D24" i="16" s="1"/>
  <c r="D29" i="16" s="1"/>
  <c r="F21" i="16"/>
  <c r="F23" i="16" s="1"/>
  <c r="F24" i="16" s="1"/>
  <c r="F29" i="16" s="1"/>
  <c r="H21" i="16"/>
  <c r="H23" i="16" s="1"/>
  <c r="H24" i="16" s="1"/>
  <c r="H29" i="16" s="1"/>
  <c r="H30" i="16" s="1"/>
  <c r="J21" i="16"/>
  <c r="J23" i="16" s="1"/>
  <c r="J24" i="16" s="1"/>
  <c r="J29" i="16" s="1"/>
  <c r="L21" i="16"/>
  <c r="L23" i="16" s="1"/>
  <c r="L24" i="16" s="1"/>
  <c r="L29" i="16" s="1"/>
  <c r="N21" i="16"/>
  <c r="N23" i="16" s="1"/>
  <c r="N24" i="16" s="1"/>
  <c r="N29" i="16" s="1"/>
  <c r="P21" i="16"/>
  <c r="P23" i="16" s="1"/>
  <c r="P24" i="16" s="1"/>
  <c r="P29" i="16" s="1"/>
  <c r="R21" i="16"/>
  <c r="R23" i="16" s="1"/>
  <c r="R24" i="16" s="1"/>
  <c r="R29" i="16" s="1"/>
  <c r="T21" i="16"/>
  <c r="T23" i="16" s="1"/>
  <c r="T24" i="16" s="1"/>
  <c r="T29" i="16" s="1"/>
  <c r="V21" i="16"/>
  <c r="V23" i="16" s="1"/>
  <c r="V24" i="16" s="1"/>
  <c r="V29" i="16" s="1"/>
  <c r="X21" i="16"/>
  <c r="X23" i="16" s="1"/>
  <c r="X24" i="16" s="1"/>
  <c r="X29" i="16" s="1"/>
  <c r="Z21" i="16"/>
  <c r="Z23" i="16" s="1"/>
  <c r="Z24" i="16" s="1"/>
  <c r="Z29" i="16" s="1"/>
  <c r="F21" i="17"/>
  <c r="F23" i="17" s="1"/>
  <c r="D21" i="17"/>
  <c r="D23" i="17" s="1"/>
  <c r="AB29" i="17"/>
  <c r="AB7" i="17"/>
  <c r="AB7" i="15"/>
  <c r="AB29" i="15"/>
  <c r="AB29" i="14"/>
  <c r="AB29" i="12"/>
  <c r="AB29" i="11"/>
  <c r="AB28" i="10"/>
  <c r="AB29" i="9"/>
  <c r="AB29" i="8"/>
  <c r="AB29" i="7"/>
  <c r="AB29" i="6"/>
  <c r="D31" i="2"/>
  <c r="F31" i="2"/>
  <c r="H31" i="2"/>
  <c r="J31" i="2"/>
  <c r="V31" i="2"/>
  <c r="X31" i="2"/>
  <c r="Z31" i="2"/>
  <c r="L31" i="2"/>
  <c r="N31" i="2"/>
  <c r="P31" i="2"/>
  <c r="R31" i="2"/>
  <c r="T31" i="2"/>
  <c r="AB31" i="2"/>
  <c r="Z22" i="2"/>
  <c r="Z25" i="2" s="1"/>
  <c r="X22" i="2"/>
  <c r="V22" i="2"/>
  <c r="V25" i="2" s="1"/>
  <c r="T22" i="2"/>
  <c r="T25" i="2" s="1"/>
  <c r="R22" i="2"/>
  <c r="R25" i="2" s="1"/>
  <c r="P22" i="2"/>
  <c r="P25" i="2" s="1"/>
  <c r="N22" i="2"/>
  <c r="N25" i="2" s="1"/>
  <c r="L22" i="2"/>
  <c r="L25" i="2" s="1"/>
  <c r="J22" i="2"/>
  <c r="J25" i="2" s="1"/>
  <c r="H22" i="2"/>
  <c r="H25" i="2" s="1"/>
  <c r="F22" i="2"/>
  <c r="F25" i="2" s="1"/>
  <c r="D22" i="2"/>
  <c r="D25" i="2" s="1"/>
  <c r="D32" i="2" s="1"/>
  <c r="D29" i="46" l="1"/>
  <c r="H29" i="46"/>
  <c r="D30" i="48"/>
  <c r="T30" i="48"/>
  <c r="F30" i="48"/>
  <c r="J30" i="49"/>
  <c r="AB30" i="49" s="1"/>
  <c r="P30" i="48"/>
  <c r="P30" i="49"/>
  <c r="H30" i="47"/>
  <c r="N30" i="16"/>
  <c r="H30" i="48"/>
  <c r="D30" i="16"/>
  <c r="J30" i="16"/>
  <c r="J30" i="48"/>
  <c r="P31" i="30"/>
  <c r="P30" i="16"/>
  <c r="H23" i="39"/>
  <c r="F30" i="16"/>
  <c r="N30" i="48"/>
  <c r="L30" i="16"/>
  <c r="T31" i="30"/>
  <c r="R31" i="30"/>
  <c r="T30" i="49"/>
  <c r="R30" i="48"/>
  <c r="X23" i="49"/>
  <c r="X29" i="49" s="1"/>
  <c r="X30" i="49" s="1"/>
  <c r="V29" i="49"/>
  <c r="V30" i="49" s="1"/>
  <c r="Z29" i="49"/>
  <c r="Z30" i="49" s="1"/>
  <c r="Z29" i="48"/>
  <c r="Z30" i="48" s="1"/>
  <c r="X23" i="48"/>
  <c r="X29" i="48" s="1"/>
  <c r="X30" i="48" s="1"/>
  <c r="V29" i="48"/>
  <c r="V30" i="48" s="1"/>
  <c r="P30" i="47"/>
  <c r="N30" i="47"/>
  <c r="L30" i="47"/>
  <c r="J30" i="47"/>
  <c r="T29" i="47"/>
  <c r="T30" i="47" s="1"/>
  <c r="D30" i="47"/>
  <c r="AB23" i="47"/>
  <c r="R29" i="47"/>
  <c r="R30" i="47" s="1"/>
  <c r="AB21" i="47"/>
  <c r="V29" i="47"/>
  <c r="V30" i="47" s="1"/>
  <c r="Z29" i="47"/>
  <c r="Z30" i="47" s="1"/>
  <c r="AB23" i="17"/>
  <c r="J23" i="46"/>
  <c r="J24" i="46" s="1"/>
  <c r="J28" i="46" s="1"/>
  <c r="J29" i="46" s="1"/>
  <c r="L24" i="46"/>
  <c r="L29" i="46"/>
  <c r="N24" i="46"/>
  <c r="N28" i="46" s="1"/>
  <c r="N29" i="46" s="1"/>
  <c r="P24" i="46"/>
  <c r="P28" i="46" s="1"/>
  <c r="P29" i="46" s="1"/>
  <c r="T24" i="46"/>
  <c r="T29" i="46"/>
  <c r="V24" i="46"/>
  <c r="V28" i="46" s="1"/>
  <c r="V29" i="46" s="1"/>
  <c r="X29" i="46"/>
  <c r="R29" i="46"/>
  <c r="Z23" i="46"/>
  <c r="Z24" i="46" s="1"/>
  <c r="Z28" i="46" s="1"/>
  <c r="Z29" i="46" s="1"/>
  <c r="Z31" i="31"/>
  <c r="F24" i="45"/>
  <c r="F29" i="45" s="1"/>
  <c r="F30" i="45" s="1"/>
  <c r="V24" i="45"/>
  <c r="V29" i="45" s="1"/>
  <c r="V30" i="45" s="1"/>
  <c r="H24" i="45"/>
  <c r="H29" i="45" s="1"/>
  <c r="H30" i="45" s="1"/>
  <c r="R24" i="45"/>
  <c r="R29" i="45" s="1"/>
  <c r="R30" i="45" s="1"/>
  <c r="T24" i="45"/>
  <c r="T29" i="45" s="1"/>
  <c r="T30" i="45" s="1"/>
  <c r="L24" i="45"/>
  <c r="L29" i="45" s="1"/>
  <c r="L30" i="45" s="1"/>
  <c r="D24" i="45"/>
  <c r="D29" i="45" s="1"/>
  <c r="D30" i="45" s="1"/>
  <c r="AB23" i="45"/>
  <c r="N24" i="45"/>
  <c r="N29" i="45" s="1"/>
  <c r="N30" i="45"/>
  <c r="P30" i="45"/>
  <c r="AB21" i="45"/>
  <c r="J24" i="45"/>
  <c r="J29" i="45" s="1"/>
  <c r="J30" i="45" s="1"/>
  <c r="Z24" i="45"/>
  <c r="Z29" i="45" s="1"/>
  <c r="Z30" i="45" s="1"/>
  <c r="AB21" i="5"/>
  <c r="AB21" i="18"/>
  <c r="AB23" i="5"/>
  <c r="AB21" i="17"/>
  <c r="AB23" i="18"/>
  <c r="J23" i="39"/>
  <c r="J24" i="39" s="1"/>
  <c r="J29" i="39" s="1"/>
  <c r="J30" i="39" s="1"/>
  <c r="K31" i="3"/>
  <c r="X30" i="44"/>
  <c r="V29" i="44"/>
  <c r="V30" i="44" s="1"/>
  <c r="F29" i="44"/>
  <c r="F30" i="44" s="1"/>
  <c r="L29" i="44"/>
  <c r="L30" i="44" s="1"/>
  <c r="T29" i="44"/>
  <c r="T30" i="44" s="1"/>
  <c r="N29" i="44"/>
  <c r="N30" i="44" s="1"/>
  <c r="R29" i="44"/>
  <c r="R30" i="44" s="1"/>
  <c r="D29" i="44"/>
  <c r="D30" i="44" s="1"/>
  <c r="P29" i="44"/>
  <c r="P30" i="44" s="1"/>
  <c r="H29" i="44"/>
  <c r="H30" i="44" s="1"/>
  <c r="J29" i="44"/>
  <c r="J30" i="44" s="1"/>
  <c r="Z24" i="44"/>
  <c r="Z29" i="44" s="1"/>
  <c r="Z30" i="44" s="1"/>
  <c r="V31" i="30"/>
  <c r="T31" i="31"/>
  <c r="P31" i="31"/>
  <c r="J31" i="31"/>
  <c r="H31" i="31"/>
  <c r="D31" i="31"/>
  <c r="R31" i="31"/>
  <c r="F31" i="31"/>
  <c r="X31" i="31"/>
  <c r="V31" i="31"/>
  <c r="F31" i="30"/>
  <c r="AB21" i="30"/>
  <c r="H31" i="30"/>
  <c r="X31" i="30"/>
  <c r="N31" i="30"/>
  <c r="AF16" i="13"/>
  <c r="T24" i="43"/>
  <c r="T29" i="43" s="1"/>
  <c r="T30" i="43" s="1"/>
  <c r="L24" i="43"/>
  <c r="L29" i="43" s="1"/>
  <c r="L30" i="43" s="1"/>
  <c r="N24" i="43"/>
  <c r="N29" i="43" s="1"/>
  <c r="N30" i="43" s="1"/>
  <c r="D24" i="43"/>
  <c r="D29" i="43" s="1"/>
  <c r="D30" i="43" s="1"/>
  <c r="AB23" i="43"/>
  <c r="P24" i="43"/>
  <c r="P29" i="43" s="1"/>
  <c r="P30" i="43" s="1"/>
  <c r="R24" i="43"/>
  <c r="R29" i="43" s="1"/>
  <c r="R30" i="43" s="1"/>
  <c r="F24" i="43"/>
  <c r="F29" i="43" s="1"/>
  <c r="F30" i="43" s="1"/>
  <c r="V24" i="43"/>
  <c r="V29" i="43" s="1"/>
  <c r="V30" i="43" s="1"/>
  <c r="AB21" i="43"/>
  <c r="J24" i="43"/>
  <c r="J29" i="43" s="1"/>
  <c r="J30" i="43" s="1"/>
  <c r="Z24" i="43"/>
  <c r="Z29" i="43" s="1"/>
  <c r="Z30" i="43" s="1"/>
  <c r="H23" i="11"/>
  <c r="AB23" i="11" s="1"/>
  <c r="AE20" i="10"/>
  <c r="J23" i="10"/>
  <c r="J24" i="10" s="1"/>
  <c r="J28" i="10" s="1"/>
  <c r="R24" i="36"/>
  <c r="R29" i="36" s="1"/>
  <c r="R30" i="36" s="1"/>
  <c r="J31" i="30"/>
  <c r="H30" i="35"/>
  <c r="Z31" i="30"/>
  <c r="H30" i="21"/>
  <c r="X31" i="23"/>
  <c r="L31" i="31"/>
  <c r="D29" i="14"/>
  <c r="Z30" i="21"/>
  <c r="J29" i="14"/>
  <c r="J30" i="14" s="1"/>
  <c r="N31" i="31"/>
  <c r="AB21" i="9"/>
  <c r="AB21" i="6"/>
  <c r="N31" i="23"/>
  <c r="V30" i="21"/>
  <c r="D24" i="12"/>
  <c r="D29" i="12" s="1"/>
  <c r="AB21" i="31"/>
  <c r="F30" i="41"/>
  <c r="H29" i="41"/>
  <c r="H30" i="41" s="1"/>
  <c r="J30" i="41"/>
  <c r="P30" i="41"/>
  <c r="Z23" i="10"/>
  <c r="Z24" i="10" s="1"/>
  <c r="Z28" i="10" s="1"/>
  <c r="Z29" i="10" s="1"/>
  <c r="H23" i="10"/>
  <c r="H29" i="10" s="1"/>
  <c r="D23" i="10"/>
  <c r="D29" i="10" s="1"/>
  <c r="N29" i="18"/>
  <c r="N30" i="18" s="1"/>
  <c r="D30" i="42"/>
  <c r="AB21" i="42"/>
  <c r="J24" i="42"/>
  <c r="J29" i="42" s="1"/>
  <c r="J30" i="42" s="1"/>
  <c r="N24" i="42"/>
  <c r="N29" i="42" s="1"/>
  <c r="N30" i="42" s="1"/>
  <c r="P24" i="42"/>
  <c r="P29" i="42" s="1"/>
  <c r="P30" i="42" s="1"/>
  <c r="V24" i="42"/>
  <c r="V29" i="42" s="1"/>
  <c r="V30" i="42" s="1"/>
  <c r="R24" i="42"/>
  <c r="R29" i="42" s="1"/>
  <c r="R30" i="42" s="1"/>
  <c r="X30" i="42"/>
  <c r="Z24" i="42"/>
  <c r="Z29" i="42" s="1"/>
  <c r="Z30" i="42" s="1"/>
  <c r="T30" i="42"/>
  <c r="H24" i="42"/>
  <c r="H29" i="42" s="1"/>
  <c r="H30" i="42" s="1"/>
  <c r="L24" i="42"/>
  <c r="L29" i="42" s="1"/>
  <c r="L30" i="42" s="1"/>
  <c r="X30" i="40"/>
  <c r="P24" i="40"/>
  <c r="P29" i="40" s="1"/>
  <c r="P30" i="40" s="1"/>
  <c r="AB21" i="36"/>
  <c r="X23" i="35"/>
  <c r="X24" i="35" s="1"/>
  <c r="X29" i="35" s="1"/>
  <c r="X30" i="35" s="1"/>
  <c r="AB23" i="41"/>
  <c r="D30" i="41"/>
  <c r="T29" i="41"/>
  <c r="T30" i="41" s="1"/>
  <c r="X30" i="41"/>
  <c r="Z24" i="41"/>
  <c r="Z29" i="41" s="1"/>
  <c r="Z30" i="41" s="1"/>
  <c r="N24" i="41"/>
  <c r="N29" i="41" s="1"/>
  <c r="N30" i="41" s="1"/>
  <c r="V29" i="41"/>
  <c r="V30" i="41" s="1"/>
  <c r="L29" i="41"/>
  <c r="L30" i="41" s="1"/>
  <c r="R29" i="41"/>
  <c r="R30" i="41" s="1"/>
  <c r="AB21" i="41"/>
  <c r="T24" i="40"/>
  <c r="T29" i="40" s="1"/>
  <c r="T30" i="40" s="1"/>
  <c r="F29" i="40"/>
  <c r="F30" i="40" s="1"/>
  <c r="V24" i="40"/>
  <c r="V29" i="40" s="1"/>
  <c r="V30" i="40" s="1"/>
  <c r="J29" i="40"/>
  <c r="J30" i="40" s="1"/>
  <c r="Z24" i="40"/>
  <c r="Z29" i="40" s="1"/>
  <c r="Z30" i="40" s="1"/>
  <c r="D29" i="40"/>
  <c r="D30" i="40" s="1"/>
  <c r="AB23" i="40"/>
  <c r="N24" i="40"/>
  <c r="N29" i="40" s="1"/>
  <c r="N30" i="40" s="1"/>
  <c r="L24" i="40"/>
  <c r="L29" i="40" s="1"/>
  <c r="L30" i="40" s="1"/>
  <c r="R24" i="40"/>
  <c r="R29" i="40" s="1"/>
  <c r="R30" i="40" s="1"/>
  <c r="AB21" i="40"/>
  <c r="H29" i="40"/>
  <c r="H30" i="40" s="1"/>
  <c r="F29" i="39"/>
  <c r="F30" i="39" s="1"/>
  <c r="V24" i="39"/>
  <c r="V29" i="39" s="1"/>
  <c r="V30" i="39" s="1"/>
  <c r="N24" i="39"/>
  <c r="N29" i="39" s="1"/>
  <c r="N30" i="39" s="1"/>
  <c r="P24" i="39"/>
  <c r="P29" i="39" s="1"/>
  <c r="P30" i="39" s="1"/>
  <c r="R24" i="39"/>
  <c r="R29" i="39" s="1"/>
  <c r="R30" i="39" s="1"/>
  <c r="D29" i="39"/>
  <c r="D30" i="39" s="1"/>
  <c r="T24" i="39"/>
  <c r="T29" i="39" s="1"/>
  <c r="T30" i="39" s="1"/>
  <c r="AB21" i="39"/>
  <c r="H29" i="39"/>
  <c r="H30" i="39" s="1"/>
  <c r="Z29" i="39"/>
  <c r="Z30" i="39" s="1"/>
  <c r="L24" i="39"/>
  <c r="L29" i="39" s="1"/>
  <c r="L30" i="39" s="1"/>
  <c r="D29" i="37"/>
  <c r="D30" i="37" s="1"/>
  <c r="AB23" i="37"/>
  <c r="T24" i="37"/>
  <c r="T29" i="37" s="1"/>
  <c r="T30" i="37" s="1"/>
  <c r="R24" i="37"/>
  <c r="R29" i="37" s="1"/>
  <c r="R30" i="37" s="1"/>
  <c r="F30" i="37"/>
  <c r="V24" i="37"/>
  <c r="V29" i="37" s="1"/>
  <c r="V30" i="37" s="1"/>
  <c r="L29" i="37"/>
  <c r="L30" i="37" s="1"/>
  <c r="P24" i="37"/>
  <c r="P29" i="37" s="1"/>
  <c r="P30" i="37" s="1"/>
  <c r="H29" i="37"/>
  <c r="H30" i="37" s="1"/>
  <c r="N24" i="37"/>
  <c r="N29" i="37" s="1"/>
  <c r="N30" i="37" s="1"/>
  <c r="AB21" i="37"/>
  <c r="J29" i="37"/>
  <c r="J30" i="37" s="1"/>
  <c r="Z29" i="37"/>
  <c r="Z30" i="37" s="1"/>
  <c r="X30" i="37"/>
  <c r="H24" i="36"/>
  <c r="H29" i="36" s="1"/>
  <c r="H30" i="36" s="1"/>
  <c r="N24" i="36"/>
  <c r="N29" i="36" s="1"/>
  <c r="N30" i="36" s="1"/>
  <c r="L24" i="36"/>
  <c r="L29" i="36" s="1"/>
  <c r="L30" i="36" s="1"/>
  <c r="P24" i="36"/>
  <c r="P29" i="36" s="1"/>
  <c r="P30" i="36" s="1"/>
  <c r="F29" i="36"/>
  <c r="F30" i="36" s="1"/>
  <c r="V24" i="36"/>
  <c r="V29" i="36" s="1"/>
  <c r="V30" i="36" s="1"/>
  <c r="T24" i="36"/>
  <c r="T29" i="36" s="1"/>
  <c r="T30" i="36" s="1"/>
  <c r="D23" i="36"/>
  <c r="J29" i="36"/>
  <c r="J30" i="36" s="1"/>
  <c r="Z24" i="36"/>
  <c r="Z29" i="36" s="1"/>
  <c r="Z30" i="36" s="1"/>
  <c r="X30" i="36"/>
  <c r="R24" i="35"/>
  <c r="R29" i="35" s="1"/>
  <c r="R30" i="35" s="1"/>
  <c r="F30" i="35"/>
  <c r="V24" i="35"/>
  <c r="V29" i="35" s="1"/>
  <c r="V30" i="35" s="1"/>
  <c r="L24" i="35"/>
  <c r="L29" i="35" s="1"/>
  <c r="L30" i="35" s="1"/>
  <c r="J29" i="35"/>
  <c r="J30" i="35" s="1"/>
  <c r="N24" i="35"/>
  <c r="N29" i="35" s="1"/>
  <c r="N30" i="35" s="1"/>
  <c r="P30" i="35"/>
  <c r="Z24" i="35"/>
  <c r="Z29" i="35" s="1"/>
  <c r="Z30" i="35" s="1"/>
  <c r="D29" i="35"/>
  <c r="D30" i="35" s="1"/>
  <c r="AB23" i="35"/>
  <c r="T24" i="35"/>
  <c r="T29" i="35" s="1"/>
  <c r="T30" i="35" s="1"/>
  <c r="AB21" i="35"/>
  <c r="R24" i="34"/>
  <c r="R29" i="34" s="1"/>
  <c r="R30" i="34" s="1"/>
  <c r="AB23" i="34"/>
  <c r="D24" i="34"/>
  <c r="D29" i="34" s="1"/>
  <c r="D30" i="34" s="1"/>
  <c r="T24" i="34"/>
  <c r="T29" i="34" s="1"/>
  <c r="T30" i="34" s="1"/>
  <c r="F24" i="34"/>
  <c r="F29" i="34" s="1"/>
  <c r="F30" i="34" s="1"/>
  <c r="V24" i="34"/>
  <c r="V29" i="34" s="1"/>
  <c r="V30" i="34" s="1"/>
  <c r="H24" i="34"/>
  <c r="H29" i="34" s="1"/>
  <c r="H30" i="34" s="1"/>
  <c r="J24" i="34"/>
  <c r="J29" i="34" s="1"/>
  <c r="J30" i="34" s="1"/>
  <c r="Z24" i="34"/>
  <c r="Z29" i="34" s="1"/>
  <c r="Z30" i="34" s="1"/>
  <c r="P24" i="34"/>
  <c r="P29" i="34" s="1"/>
  <c r="P30" i="34" s="1"/>
  <c r="N30" i="34"/>
  <c r="AB21" i="34"/>
  <c r="X30" i="34"/>
  <c r="L24" i="34"/>
  <c r="L29" i="34" s="1"/>
  <c r="L30" i="34" s="1"/>
  <c r="Z31" i="23"/>
  <c r="V31" i="23"/>
  <c r="T31" i="23"/>
  <c r="R31" i="23"/>
  <c r="P31" i="23"/>
  <c r="J31" i="23"/>
  <c r="H31" i="23"/>
  <c r="F31" i="23"/>
  <c r="F29" i="14"/>
  <c r="AB21" i="23"/>
  <c r="AB24" i="31"/>
  <c r="D24" i="30"/>
  <c r="X24" i="30"/>
  <c r="X24" i="23"/>
  <c r="L24" i="23"/>
  <c r="L31" i="23" s="1"/>
  <c r="D29" i="9"/>
  <c r="F29" i="10"/>
  <c r="P24" i="15"/>
  <c r="P29" i="15" s="1"/>
  <c r="P30" i="15" s="1"/>
  <c r="N24" i="15"/>
  <c r="N29" i="15" s="1"/>
  <c r="N30" i="15" s="1"/>
  <c r="R24" i="15"/>
  <c r="R29" i="15" s="1"/>
  <c r="R30" i="15" s="1"/>
  <c r="L24" i="15"/>
  <c r="L29" i="15" s="1"/>
  <c r="L30" i="15" s="1"/>
  <c r="H29" i="14"/>
  <c r="H30" i="14" s="1"/>
  <c r="T24" i="14"/>
  <c r="T29" i="14" s="1"/>
  <c r="T30" i="14" s="1"/>
  <c r="P29" i="12"/>
  <c r="P30" i="12" s="1"/>
  <c r="R29" i="12"/>
  <c r="R30" i="12" s="1"/>
  <c r="T29" i="12"/>
  <c r="T30" i="12" s="1"/>
  <c r="H29" i="12"/>
  <c r="H30" i="12" s="1"/>
  <c r="J29" i="12"/>
  <c r="J30" i="12" s="1"/>
  <c r="Z29" i="12"/>
  <c r="Z30" i="12" s="1"/>
  <c r="L29" i="12"/>
  <c r="L30" i="12" s="1"/>
  <c r="N29" i="12"/>
  <c r="N30" i="12" s="1"/>
  <c r="X29" i="12"/>
  <c r="X30" i="12" s="1"/>
  <c r="F29" i="12"/>
  <c r="F30" i="12" s="1"/>
  <c r="V29" i="12"/>
  <c r="V30" i="12" s="1"/>
  <c r="N29" i="20"/>
  <c r="N30" i="20" s="1"/>
  <c r="P29" i="20"/>
  <c r="P30" i="20" s="1"/>
  <c r="T29" i="20"/>
  <c r="T30" i="20" s="1"/>
  <c r="F29" i="20"/>
  <c r="F30" i="20" s="1"/>
  <c r="V29" i="20"/>
  <c r="V30" i="20" s="1"/>
  <c r="L29" i="20"/>
  <c r="L30" i="20" s="1"/>
  <c r="H29" i="20"/>
  <c r="H30" i="20" s="1"/>
  <c r="J29" i="20"/>
  <c r="J30" i="20" s="1"/>
  <c r="Z29" i="20"/>
  <c r="Z30" i="20" s="1"/>
  <c r="R30" i="20"/>
  <c r="X23" i="20"/>
  <c r="X29" i="20" s="1"/>
  <c r="X30" i="20" s="1"/>
  <c r="D23" i="20"/>
  <c r="P30" i="21"/>
  <c r="F30" i="21"/>
  <c r="L30" i="21"/>
  <c r="J30" i="21"/>
  <c r="N30" i="21"/>
  <c r="T30" i="21"/>
  <c r="R30" i="21"/>
  <c r="X30" i="21"/>
  <c r="D30" i="21"/>
  <c r="Z30" i="15"/>
  <c r="V30" i="14"/>
  <c r="P30" i="14"/>
  <c r="N30" i="14"/>
  <c r="R30" i="14"/>
  <c r="X30" i="14"/>
  <c r="L30" i="14"/>
  <c r="F30" i="14"/>
  <c r="N30" i="13"/>
  <c r="R30" i="5"/>
  <c r="F30" i="11"/>
  <c r="F30" i="9"/>
  <c r="L30" i="18"/>
  <c r="J30" i="18"/>
  <c r="Z30" i="18"/>
  <c r="F30" i="18"/>
  <c r="H30" i="18"/>
  <c r="P30" i="18"/>
  <c r="V30" i="18"/>
  <c r="X30" i="18"/>
  <c r="R30" i="18"/>
  <c r="T30" i="18"/>
  <c r="D30" i="18"/>
  <c r="Z30" i="14"/>
  <c r="Z30" i="6"/>
  <c r="Z30" i="7"/>
  <c r="Z30" i="11"/>
  <c r="X30" i="11"/>
  <c r="X30" i="13"/>
  <c r="V30" i="5"/>
  <c r="V30" i="11"/>
  <c r="V30" i="6"/>
  <c r="V30" i="7"/>
  <c r="T30" i="11"/>
  <c r="T30" i="6"/>
  <c r="T30" i="7"/>
  <c r="R30" i="6"/>
  <c r="R30" i="7"/>
  <c r="R30" i="11"/>
  <c r="R30" i="9"/>
  <c r="P30" i="6"/>
  <c r="P30" i="7"/>
  <c r="P30" i="11"/>
  <c r="N30" i="6"/>
  <c r="N30" i="7"/>
  <c r="N30" i="11"/>
  <c r="L30" i="6"/>
  <c r="L30" i="7"/>
  <c r="L30" i="11"/>
  <c r="J30" i="6"/>
  <c r="J30" i="7"/>
  <c r="N30" i="8"/>
  <c r="P30" i="8"/>
  <c r="R30" i="8"/>
  <c r="T30" i="8"/>
  <c r="X30" i="8"/>
  <c r="H30" i="8"/>
  <c r="J30" i="11"/>
  <c r="V29" i="10"/>
  <c r="L29" i="10"/>
  <c r="P29" i="10"/>
  <c r="T30" i="13"/>
  <c r="J30" i="13"/>
  <c r="Z30" i="13"/>
  <c r="P30" i="13"/>
  <c r="L30" i="13"/>
  <c r="R30" i="13"/>
  <c r="V30" i="13"/>
  <c r="H30" i="13"/>
  <c r="X30" i="5"/>
  <c r="J30" i="5"/>
  <c r="Z30" i="5"/>
  <c r="L30" i="5"/>
  <c r="H30" i="5"/>
  <c r="H30" i="6"/>
  <c r="H30" i="7"/>
  <c r="N30" i="9"/>
  <c r="AB21" i="15"/>
  <c r="F30" i="13"/>
  <c r="P30" i="5"/>
  <c r="D30" i="5"/>
  <c r="N30" i="5"/>
  <c r="T30" i="5"/>
  <c r="F30" i="5"/>
  <c r="F30" i="6"/>
  <c r="R29" i="10"/>
  <c r="T29" i="10"/>
  <c r="X29" i="10"/>
  <c r="N29" i="10"/>
  <c r="J29" i="10"/>
  <c r="AB21" i="11"/>
  <c r="R29" i="17"/>
  <c r="R30" i="17" s="1"/>
  <c r="L29" i="17"/>
  <c r="L30" i="17" s="1"/>
  <c r="P29" i="17"/>
  <c r="P30" i="17" s="1"/>
  <c r="N29" i="17"/>
  <c r="N30" i="17" s="1"/>
  <c r="F29" i="17"/>
  <c r="F30" i="17" s="1"/>
  <c r="V29" i="17"/>
  <c r="V30" i="17" s="1"/>
  <c r="H29" i="17"/>
  <c r="H30" i="17" s="1"/>
  <c r="J29" i="17"/>
  <c r="J30" i="17" s="1"/>
  <c r="Z29" i="17"/>
  <c r="Z30" i="17" s="1"/>
  <c r="T29" i="17"/>
  <c r="T30" i="17" s="1"/>
  <c r="X30" i="7"/>
  <c r="D30" i="7"/>
  <c r="F30" i="8"/>
  <c r="V30" i="8"/>
  <c r="J30" i="8"/>
  <c r="Z30" i="8"/>
  <c r="L30" i="8"/>
  <c r="AB23" i="8"/>
  <c r="P30" i="9"/>
  <c r="H30" i="9"/>
  <c r="X30" i="9"/>
  <c r="L30" i="9"/>
  <c r="T30" i="9"/>
  <c r="V30" i="9"/>
  <c r="J30" i="9"/>
  <c r="Z30" i="9"/>
  <c r="AB23" i="9"/>
  <c r="AB21" i="12"/>
  <c r="AB23" i="12"/>
  <c r="AB23" i="15"/>
  <c r="D30" i="14"/>
  <c r="F30" i="7"/>
  <c r="D30" i="6"/>
  <c r="AB23" i="6"/>
  <c r="R32" i="2"/>
  <c r="AB25" i="2"/>
  <c r="T32" i="2"/>
  <c r="H32" i="2"/>
  <c r="J32" i="2"/>
  <c r="Z32" i="2"/>
  <c r="L32" i="2"/>
  <c r="N32" i="2"/>
  <c r="V32" i="2"/>
  <c r="P32" i="2"/>
  <c r="AB22" i="2"/>
  <c r="X25" i="2"/>
  <c r="X32" i="2" s="1"/>
  <c r="AB30" i="48" l="1"/>
  <c r="AB30" i="47"/>
  <c r="AB30" i="45"/>
  <c r="AB30" i="18"/>
  <c r="AB23" i="39"/>
  <c r="AB30" i="5"/>
  <c r="AB30" i="44"/>
  <c r="AB31" i="31"/>
  <c r="AB30" i="14"/>
  <c r="AB30" i="43"/>
  <c r="H24" i="11"/>
  <c r="H29" i="11" s="1"/>
  <c r="H30" i="11" s="1"/>
  <c r="AB30" i="41"/>
  <c r="AB30" i="40"/>
  <c r="AB30" i="39"/>
  <c r="AB30" i="37"/>
  <c r="AB23" i="36"/>
  <c r="D29" i="36"/>
  <c r="D30" i="36" s="1"/>
  <c r="AB30" i="36" s="1"/>
  <c r="AB30" i="35"/>
  <c r="AB30" i="34"/>
  <c r="AB24" i="23"/>
  <c r="AB24" i="30"/>
  <c r="D31" i="30"/>
  <c r="AB31" i="30" s="1"/>
  <c r="AB31" i="23"/>
  <c r="D29" i="20"/>
  <c r="D30" i="20" s="1"/>
  <c r="D29" i="17"/>
  <c r="D30" i="17" s="1"/>
  <c r="AB30" i="17" s="1"/>
  <c r="D30" i="12"/>
  <c r="AB30" i="12" s="1"/>
  <c r="AB30" i="15"/>
  <c r="AB30" i="6"/>
  <c r="D30" i="13"/>
  <c r="AB30" i="7"/>
  <c r="D30" i="8"/>
  <c r="AB30" i="8" s="1"/>
  <c r="D30" i="11"/>
  <c r="D30" i="9"/>
  <c r="AB30" i="9" s="1"/>
  <c r="F32" i="2"/>
  <c r="AB32" i="2" s="1"/>
  <c r="F24" i="42"/>
  <c r="F29" i="42" s="1"/>
  <c r="F30" i="42" s="1"/>
  <c r="AB30" i="42" s="1"/>
  <c r="AB23" i="42"/>
  <c r="AB30" i="11" l="1"/>
</calcChain>
</file>

<file path=xl/sharedStrings.xml><?xml version="1.0" encoding="utf-8"?>
<sst xmlns="http://schemas.openxmlformats.org/spreadsheetml/2006/main" count="3699" uniqueCount="134">
  <si>
    <t>雇　用　年　月　日</t>
    <rPh sb="0" eb="1">
      <t>ヤトイ</t>
    </rPh>
    <rPh sb="2" eb="3">
      <t>ヨウ</t>
    </rPh>
    <rPh sb="4" eb="5">
      <t>ネン</t>
    </rPh>
    <rPh sb="6" eb="7">
      <t>ツキ</t>
    </rPh>
    <rPh sb="8" eb="9">
      <t>ヒ</t>
    </rPh>
    <phoneticPr fontId="3"/>
  </si>
  <si>
    <t>所　　属</t>
    <rPh sb="0" eb="1">
      <t>トコロ</t>
    </rPh>
    <rPh sb="3" eb="4">
      <t>ゾク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</si>
  <si>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</si>
  <si>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</si>
  <si>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性別</t>
    <rPh sb="0" eb="2">
      <t>セイベツ</t>
    </rPh>
    <phoneticPr fontId="3"/>
  </si>
  <si>
    <t>施設警備</t>
    <rPh sb="0" eb="2">
      <t>シセツ</t>
    </rPh>
    <rPh sb="2" eb="4">
      <t>ケイビ</t>
    </rPh>
    <phoneticPr fontId="3"/>
  </si>
  <si>
    <t>男・女</t>
    <rPh sb="0" eb="1">
      <t>オトコ</t>
    </rPh>
    <rPh sb="2" eb="3">
      <t>オンナ</t>
    </rPh>
    <phoneticPr fontId="3"/>
  </si>
  <si>
    <t>賃金計算期間</t>
    <rPh sb="0" eb="2">
      <t>チンギン</t>
    </rPh>
    <rPh sb="2" eb="4">
      <t>ケイサン</t>
    </rPh>
    <rPh sb="4" eb="6">
      <t>キカン</t>
    </rPh>
    <phoneticPr fontId="3"/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</si>
  <si>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</si>
  <si>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</si>
  <si>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</si>
  <si>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</si>
  <si>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</si>
  <si>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</si>
  <si>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</si>
  <si>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</si>
  <si>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</si>
  <si>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</si>
  <si>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</si>
  <si>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</si>
  <si>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合計</t>
    <rPh sb="0" eb="2">
      <t>ゴウケイ</t>
    </rPh>
    <phoneticPr fontId="3"/>
  </si>
  <si>
    <t>日</t>
    <rPh sb="0" eb="1">
      <t>ヒ</t>
    </rPh>
    <phoneticPr fontId="3"/>
  </si>
  <si>
    <t>Ｈ</t>
    <phoneticPr fontId="3"/>
  </si>
  <si>
    <t>休日労働時間数</t>
    <rPh sb="0" eb="2">
      <t>キュウジツ</t>
    </rPh>
    <rPh sb="2" eb="4">
      <t>ロウドウ</t>
    </rPh>
    <rPh sb="4" eb="7">
      <t>ジカンスウ</t>
    </rPh>
    <phoneticPr fontId="3"/>
  </si>
  <si>
    <t>早出残業時間数</t>
    <rPh sb="0" eb="2">
      <t>ハヤデ</t>
    </rPh>
    <rPh sb="2" eb="4">
      <t>ザンギョウ</t>
    </rPh>
    <rPh sb="4" eb="7">
      <t>ジカンスウ</t>
    </rPh>
    <phoneticPr fontId="3"/>
  </si>
  <si>
    <t>深夜労働時間数</t>
    <rPh sb="0" eb="2">
      <t>シンヤ</t>
    </rPh>
    <rPh sb="2" eb="4">
      <t>ロウドウ</t>
    </rPh>
    <rPh sb="4" eb="7">
      <t>ジカンスウ</t>
    </rPh>
    <phoneticPr fontId="3"/>
  </si>
  <si>
    <t>基本給</t>
    <rPh sb="0" eb="3">
      <t>キホンキュウ</t>
    </rPh>
    <phoneticPr fontId="3"/>
  </si>
  <si>
    <t>夜勤基本給</t>
    <rPh sb="0" eb="2">
      <t>ヤキン</t>
    </rPh>
    <rPh sb="2" eb="5">
      <t>キホンキュウ</t>
    </rPh>
    <phoneticPr fontId="3"/>
  </si>
  <si>
    <t>交通費</t>
    <rPh sb="0" eb="3">
      <t>コウツウヒ</t>
    </rPh>
    <phoneticPr fontId="3"/>
  </si>
  <si>
    <t>同乗手当</t>
    <rPh sb="0" eb="2">
      <t>ドウジョウ</t>
    </rPh>
    <rPh sb="2" eb="4">
      <t>テアテ</t>
    </rPh>
    <phoneticPr fontId="3"/>
  </si>
  <si>
    <t>イベント他</t>
    <rPh sb="4" eb="5">
      <t>ホカ</t>
    </rPh>
    <phoneticPr fontId="3"/>
  </si>
  <si>
    <t>小計</t>
    <rPh sb="0" eb="2">
      <t>ショウケイ</t>
    </rPh>
    <phoneticPr fontId="3"/>
  </si>
  <si>
    <t>臨時の給与</t>
    <rPh sb="0" eb="2">
      <t>リンジ</t>
    </rPh>
    <rPh sb="3" eb="5">
      <t>キュウヨ</t>
    </rPh>
    <phoneticPr fontId="3"/>
  </si>
  <si>
    <t>控除額</t>
    <rPh sb="0" eb="2">
      <t>コウジョ</t>
    </rPh>
    <rPh sb="2" eb="3">
      <t>ガク</t>
    </rPh>
    <phoneticPr fontId="3"/>
  </si>
  <si>
    <t>雇用保険料</t>
    <rPh sb="0" eb="2">
      <t>コヨウ</t>
    </rPh>
    <rPh sb="2" eb="4">
      <t>ホケン</t>
    </rPh>
    <rPh sb="4" eb="5">
      <t>リョウ</t>
    </rPh>
    <phoneticPr fontId="3"/>
  </si>
  <si>
    <t>所得税</t>
    <rPh sb="0" eb="3">
      <t>ショトクゼイ</t>
    </rPh>
    <phoneticPr fontId="3"/>
  </si>
  <si>
    <t>控除合計額</t>
    <rPh sb="0" eb="2">
      <t>コウジョ</t>
    </rPh>
    <rPh sb="2" eb="4">
      <t>ゴウケイ</t>
    </rPh>
    <rPh sb="4" eb="5">
      <t>ガク</t>
    </rPh>
    <phoneticPr fontId="3"/>
  </si>
  <si>
    <t>差引支給額</t>
    <rPh sb="0" eb="2">
      <t>サシヒキ</t>
    </rPh>
    <rPh sb="2" eb="4">
      <t>シキュウ</t>
    </rPh>
    <rPh sb="4" eb="5">
      <t>ガク</t>
    </rPh>
    <phoneticPr fontId="3"/>
  </si>
  <si>
    <r>
      <t>　　　　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1" eb="12">
      <t>チン</t>
    </rPh>
    <rPh sb="17" eb="18">
      <t>キン</t>
    </rPh>
    <rPh sb="22" eb="23">
      <t>ダイ</t>
    </rPh>
    <rPh sb="27" eb="28">
      <t>トバリ</t>
    </rPh>
    <rPh sb="32" eb="34">
      <t>ジョウジ</t>
    </rPh>
    <rPh sb="34" eb="36">
      <t>シヨウ</t>
    </rPh>
    <rPh sb="39" eb="42">
      <t>ロウドウシャ</t>
    </rPh>
    <rPh sb="43" eb="44">
      <t>タイ</t>
    </rPh>
    <phoneticPr fontId="3"/>
  </si>
  <si>
    <t>寸志</t>
    <rPh sb="0" eb="2">
      <t>スンシ</t>
    </rPh>
    <phoneticPr fontId="2"/>
  </si>
  <si>
    <t>平日勤務日数</t>
    <rPh sb="0" eb="4">
      <t>ヘイジツキンム</t>
    </rPh>
    <rPh sb="4" eb="6">
      <t>ニッスウ</t>
    </rPh>
    <phoneticPr fontId="3"/>
  </si>
  <si>
    <t>日･祝･夜勤務日数</t>
    <rPh sb="0" eb="1">
      <t>ニチ</t>
    </rPh>
    <rPh sb="2" eb="3">
      <t>シュク</t>
    </rPh>
    <rPh sb="4" eb="6">
      <t>ヤキン</t>
    </rPh>
    <rPh sb="6" eb="7">
      <t>ム</t>
    </rPh>
    <rPh sb="7" eb="9">
      <t>ニッスウ</t>
    </rPh>
    <phoneticPr fontId="3"/>
  </si>
  <si>
    <t>諸手当</t>
    <rPh sb="0" eb="3">
      <t>ショテアテ</t>
    </rPh>
    <phoneticPr fontId="2"/>
  </si>
  <si>
    <t>　　　手当</t>
    <rPh sb="3" eb="5">
      <t>テアテ</t>
    </rPh>
    <phoneticPr fontId="3"/>
  </si>
  <si>
    <t>　　　　　手当</t>
    <rPh sb="5" eb="7">
      <t>テアテ</t>
    </rPh>
    <phoneticPr fontId="3"/>
  </si>
  <si>
    <t>　　手当</t>
    <rPh sb="2" eb="4">
      <t>テアテ</t>
    </rPh>
    <phoneticPr fontId="3"/>
  </si>
  <si>
    <t>交通誘導警備</t>
    <rPh sb="0" eb="6">
      <t>コウツウユウドウケイビ</t>
    </rPh>
    <phoneticPr fontId="3"/>
  </si>
  <si>
    <t>市県民税</t>
    <rPh sb="0" eb="4">
      <t>シケンミンゼイ</t>
    </rPh>
    <phoneticPr fontId="3"/>
  </si>
  <si>
    <t>社会保険</t>
    <rPh sb="0" eb="4">
      <t>シャカイホケン</t>
    </rPh>
    <phoneticPr fontId="3"/>
  </si>
  <si>
    <t>平日残業</t>
    <rPh sb="0" eb="4">
      <t>ヘイジツザンギョウ</t>
    </rPh>
    <phoneticPr fontId="3"/>
  </si>
  <si>
    <t>日･祝･夜　残業</t>
    <rPh sb="0" eb="1">
      <t>ニチ</t>
    </rPh>
    <rPh sb="2" eb="3">
      <t>シュク</t>
    </rPh>
    <rPh sb="4" eb="5">
      <t>ヨル</t>
    </rPh>
    <rPh sb="6" eb="8">
      <t>ザンギョウ</t>
    </rPh>
    <phoneticPr fontId="3"/>
  </si>
  <si>
    <t>その他</t>
    <rPh sb="2" eb="3">
      <t>タ</t>
    </rPh>
    <phoneticPr fontId="3"/>
  </si>
  <si>
    <t>前田年延</t>
    <rPh sb="0" eb="4">
      <t>マエダトシノブ</t>
    </rPh>
    <phoneticPr fontId="2"/>
  </si>
  <si>
    <t>香山　満</t>
    <rPh sb="0" eb="2">
      <t>コウヤマ</t>
    </rPh>
    <rPh sb="3" eb="4">
      <t>ミツル</t>
    </rPh>
    <phoneticPr fontId="2"/>
  </si>
  <si>
    <t>2級</t>
    <rPh sb="1" eb="2">
      <t>キュウ</t>
    </rPh>
    <phoneticPr fontId="2"/>
  </si>
  <si>
    <t>友久芳彦</t>
    <rPh sb="0" eb="4">
      <t>トモヒサヨシヒコ</t>
    </rPh>
    <phoneticPr fontId="2"/>
  </si>
  <si>
    <t>池内信夫</t>
    <rPh sb="0" eb="4">
      <t>イケウチノブオ</t>
    </rPh>
    <phoneticPr fontId="2"/>
  </si>
  <si>
    <t>杜山玲子</t>
    <rPh sb="0" eb="4">
      <t>モリヤマレイコ</t>
    </rPh>
    <phoneticPr fontId="2"/>
  </si>
  <si>
    <t>畑中幸雄</t>
    <rPh sb="0" eb="4">
      <t>ハタナカユキオ</t>
    </rPh>
    <phoneticPr fontId="2"/>
  </si>
  <si>
    <t>霞末英一</t>
    <rPh sb="0" eb="4">
      <t>カスエエイイチ</t>
    </rPh>
    <phoneticPr fontId="2"/>
  </si>
  <si>
    <t>山本茂樹</t>
    <rPh sb="0" eb="4">
      <t>ヤマモトシゲキ</t>
    </rPh>
    <phoneticPr fontId="2"/>
  </si>
  <si>
    <t>山本善樹</t>
    <rPh sb="0" eb="4">
      <t>ヤマモトヨシキ</t>
    </rPh>
    <phoneticPr fontId="2"/>
  </si>
  <si>
    <t>大崎和哉</t>
    <rPh sb="0" eb="4">
      <t>オオサキカズヤ</t>
    </rPh>
    <phoneticPr fontId="2"/>
  </si>
  <si>
    <t>大崎宏稀</t>
    <rPh sb="0" eb="4">
      <t>オオサキコウキ</t>
    </rPh>
    <phoneticPr fontId="2"/>
  </si>
  <si>
    <t>指導教育責任者</t>
    <rPh sb="0" eb="7">
      <t>シドウキョウイクセキニンシャ</t>
    </rPh>
    <phoneticPr fontId="2"/>
  </si>
  <si>
    <t>交通2級</t>
    <rPh sb="0" eb="2">
      <t>コウツウ</t>
    </rPh>
    <rPh sb="3" eb="4">
      <t>キュウ</t>
    </rPh>
    <phoneticPr fontId="2"/>
  </si>
  <si>
    <t>施設2級</t>
    <rPh sb="0" eb="2">
      <t>シセツ</t>
    </rPh>
    <rPh sb="3" eb="4">
      <t>キュウ</t>
    </rPh>
    <phoneticPr fontId="2"/>
  </si>
  <si>
    <t>病院</t>
    <rPh sb="0" eb="2">
      <t>ビョウイン</t>
    </rPh>
    <phoneticPr fontId="2"/>
  </si>
  <si>
    <t>夜勤</t>
    <rPh sb="0" eb="2">
      <t>ヤキン</t>
    </rPh>
    <phoneticPr fontId="2"/>
  </si>
  <si>
    <t>日祝夜勤残業</t>
    <rPh sb="0" eb="2">
      <t>ニチシュク</t>
    </rPh>
    <rPh sb="2" eb="4">
      <t>ヤキン</t>
    </rPh>
    <rPh sb="4" eb="6">
      <t>ザンギョウ</t>
    </rPh>
    <phoneticPr fontId="3"/>
  </si>
  <si>
    <t>岡本善信</t>
    <rPh sb="0" eb="4">
      <t>オカモトヨシノブ</t>
    </rPh>
    <phoneticPr fontId="2"/>
  </si>
  <si>
    <t>大崎恵子</t>
    <rPh sb="0" eb="2">
      <t>オオサキ</t>
    </rPh>
    <rPh sb="2" eb="4">
      <t>ケイコ</t>
    </rPh>
    <phoneticPr fontId="2"/>
  </si>
  <si>
    <t>Ｈ</t>
  </si>
  <si>
    <t>油谷州昭</t>
    <rPh sb="0" eb="4">
      <t>アブラタニクニアキ</t>
    </rPh>
    <phoneticPr fontId="2"/>
  </si>
  <si>
    <t>田中英樹</t>
    <rPh sb="0" eb="2">
      <t>タナカ</t>
    </rPh>
    <rPh sb="2" eb="4">
      <t>ヒデキ</t>
    </rPh>
    <phoneticPr fontId="2"/>
  </si>
  <si>
    <t>鈴木隆夫</t>
    <rPh sb="0" eb="2">
      <t>スズキ</t>
    </rPh>
    <rPh sb="2" eb="4">
      <t>タカオ</t>
    </rPh>
    <phoneticPr fontId="2"/>
  </si>
  <si>
    <t>瀧川莉奈</t>
    <rPh sb="0" eb="4">
      <t>タキガワリナ</t>
    </rPh>
    <phoneticPr fontId="2"/>
  </si>
  <si>
    <t>日</t>
    <rPh sb="0" eb="1">
      <t>ニチ</t>
    </rPh>
    <phoneticPr fontId="2"/>
  </si>
  <si>
    <t>小川リエ</t>
    <rPh sb="0" eb="2">
      <t>オガワ</t>
    </rPh>
    <phoneticPr fontId="2"/>
  </si>
  <si>
    <t>足立一人</t>
    <rPh sb="0" eb="4">
      <t>アダチカズト</t>
    </rPh>
    <phoneticPr fontId="2"/>
  </si>
  <si>
    <t>中川美菜子</t>
    <rPh sb="0" eb="5">
      <t>ナカガワミナコ</t>
    </rPh>
    <phoneticPr fontId="2"/>
  </si>
  <si>
    <t>小川　清</t>
    <rPh sb="0" eb="2">
      <t>オガワ</t>
    </rPh>
    <rPh sb="3" eb="4">
      <t>キヨシ</t>
    </rPh>
    <phoneticPr fontId="2"/>
  </si>
  <si>
    <t>中村初男</t>
    <rPh sb="0" eb="2">
      <t>ナカムラ</t>
    </rPh>
    <rPh sb="2" eb="4">
      <t>ハツオ</t>
    </rPh>
    <phoneticPr fontId="2"/>
  </si>
  <si>
    <t>山川善博</t>
    <rPh sb="0" eb="4">
      <t>ヤマカワヨシヒロ</t>
    </rPh>
    <phoneticPr fontId="2"/>
  </si>
  <si>
    <t>高木秀勝</t>
    <rPh sb="0" eb="4">
      <t>タカギヒデカツ</t>
    </rPh>
    <phoneticPr fontId="2"/>
  </si>
  <si>
    <t>平日残業</t>
    <phoneticPr fontId="3"/>
  </si>
  <si>
    <t>日</t>
    <rPh sb="0" eb="1">
      <t>ニチ</t>
    </rPh>
    <phoneticPr fontId="3"/>
  </si>
  <si>
    <t>昼勤務</t>
    <rPh sb="0" eb="3">
      <t>ヒルキンム</t>
    </rPh>
    <phoneticPr fontId="3"/>
  </si>
  <si>
    <t>休日労働時間数</t>
    <phoneticPr fontId="3"/>
  </si>
  <si>
    <t>平日勤務</t>
    <rPh sb="0" eb="2">
      <t>ヘイジツ</t>
    </rPh>
    <rPh sb="2" eb="4">
      <t>キンム</t>
    </rPh>
    <phoneticPr fontId="3"/>
  </si>
  <si>
    <t>日･祝･夜勤務日数</t>
    <phoneticPr fontId="2"/>
  </si>
  <si>
    <t>日祝夜勤残業</t>
    <phoneticPr fontId="2"/>
  </si>
  <si>
    <t>基本給</t>
    <phoneticPr fontId="3"/>
  </si>
  <si>
    <t>夜勤基本給</t>
    <phoneticPr fontId="2"/>
  </si>
  <si>
    <t>日･祝･夜　残業</t>
    <phoneticPr fontId="3"/>
  </si>
  <si>
    <t>檜垣俊宏</t>
    <rPh sb="0" eb="2">
      <t>ヒガキ</t>
    </rPh>
    <rPh sb="2" eb="4">
      <t>トシヒロ</t>
    </rPh>
    <phoneticPr fontId="2"/>
  </si>
  <si>
    <t>日･祝･夜基本給</t>
    <rPh sb="5" eb="8">
      <t>キホンキュウ</t>
    </rPh>
    <phoneticPr fontId="3"/>
  </si>
  <si>
    <t>土屋彩音</t>
    <rPh sb="0" eb="2">
      <t>ツチヤ</t>
    </rPh>
    <rPh sb="2" eb="4">
      <t>アヤネ</t>
    </rPh>
    <phoneticPr fontId="2"/>
  </si>
  <si>
    <t>夜勤・休日基本給</t>
    <rPh sb="0" eb="2">
      <t>ヤキン</t>
    </rPh>
    <rPh sb="3" eb="5">
      <t>キュウジツ</t>
    </rPh>
    <rPh sb="5" eb="8">
      <t>キホンキュウ</t>
    </rPh>
    <phoneticPr fontId="3"/>
  </si>
  <si>
    <t>平日残業</t>
    <rPh sb="0" eb="2">
      <t>ヘイジツ</t>
    </rPh>
    <rPh sb="2" eb="4">
      <t>ザンギョウ</t>
    </rPh>
    <phoneticPr fontId="3"/>
  </si>
  <si>
    <t>日祝夜残業</t>
    <rPh sb="0" eb="2">
      <t>ニチシュク</t>
    </rPh>
    <rPh sb="2" eb="3">
      <t>ヨル</t>
    </rPh>
    <rPh sb="3" eb="5">
      <t>ザンギョウ</t>
    </rPh>
    <phoneticPr fontId="3"/>
  </si>
  <si>
    <t>鴻齋かおり</t>
    <rPh sb="0" eb="2">
      <t>コウザイ</t>
    </rPh>
    <phoneticPr fontId="2"/>
  </si>
  <si>
    <t>技能</t>
    <rPh sb="0" eb="2">
      <t>ギノウ</t>
    </rPh>
    <phoneticPr fontId="2"/>
  </si>
  <si>
    <t>技能</t>
    <rPh sb="0" eb="2">
      <t>ギノウ</t>
    </rPh>
    <phoneticPr fontId="2"/>
  </si>
  <si>
    <t>　　技能　手当</t>
    <rPh sb="2" eb="4">
      <t>ギノウ</t>
    </rPh>
    <rPh sb="5" eb="7">
      <t>テアテ</t>
    </rPh>
    <phoneticPr fontId="3"/>
  </si>
  <si>
    <t>日祝勤務</t>
    <rPh sb="0" eb="2">
      <t>ニチシュク</t>
    </rPh>
    <rPh sb="2" eb="4">
      <t>キンム</t>
    </rPh>
    <phoneticPr fontId="3"/>
  </si>
  <si>
    <t>平日残業時間数</t>
    <rPh sb="0" eb="2">
      <t>ヘイジツ</t>
    </rPh>
    <rPh sb="2" eb="4">
      <t>ザンギョウ</t>
    </rPh>
    <rPh sb="4" eb="7">
      <t>ジカンスウ</t>
    </rPh>
    <phoneticPr fontId="3"/>
  </si>
  <si>
    <t>日祝残業</t>
    <rPh sb="0" eb="2">
      <t>ニチシュク</t>
    </rPh>
    <rPh sb="2" eb="4">
      <t>ザンギョウ</t>
    </rPh>
    <phoneticPr fontId="3"/>
  </si>
  <si>
    <t>技能</t>
    <rPh sb="0" eb="2">
      <t>ギノウ</t>
    </rPh>
    <phoneticPr fontId="2"/>
  </si>
  <si>
    <t>サポート</t>
    <phoneticPr fontId="2"/>
  </si>
  <si>
    <t>技能</t>
    <rPh sb="0" eb="2">
      <t>ギノウ</t>
    </rPh>
    <phoneticPr fontId="2"/>
  </si>
  <si>
    <t>山名保夫</t>
    <rPh sb="0" eb="2">
      <t>ヤマナ</t>
    </rPh>
    <rPh sb="2" eb="4">
      <t>ヤスオ</t>
    </rPh>
    <phoneticPr fontId="2"/>
  </si>
  <si>
    <t>残業時間数</t>
    <rPh sb="0" eb="2">
      <t>ザンギョウ</t>
    </rPh>
    <rPh sb="2" eb="5">
      <t>ジカンスウ</t>
    </rPh>
    <phoneticPr fontId="3"/>
  </si>
  <si>
    <t>研修</t>
    <rPh sb="0" eb="2">
      <t>ケンシュウ</t>
    </rPh>
    <phoneticPr fontId="2"/>
  </si>
  <si>
    <t>技能</t>
    <rPh sb="0" eb="2">
      <t>ギノウ</t>
    </rPh>
    <phoneticPr fontId="2"/>
  </si>
  <si>
    <t>事務</t>
    <rPh sb="0" eb="2">
      <t>ジム</t>
    </rPh>
    <phoneticPr fontId="2"/>
  </si>
  <si>
    <t>新澤健男</t>
    <rPh sb="0" eb="4">
      <t>ニイザワタケオ</t>
    </rPh>
    <phoneticPr fontId="2"/>
  </si>
  <si>
    <t>技能</t>
    <rPh sb="0" eb="2">
      <t>ギノウ</t>
    </rPh>
    <phoneticPr fontId="2"/>
  </si>
  <si>
    <t>同乗</t>
    <rPh sb="0" eb="2">
      <t>ドウジョウ</t>
    </rPh>
    <phoneticPr fontId="3"/>
  </si>
  <si>
    <t>4月</t>
    <rPh sb="1" eb="2">
      <t>ガツ</t>
    </rPh>
    <phoneticPr fontId="2"/>
  </si>
  <si>
    <t>納税額</t>
    <rPh sb="0" eb="3">
      <t>ノウゼイガク</t>
    </rPh>
    <phoneticPr fontId="2"/>
  </si>
  <si>
    <t>台帳合計額</t>
    <rPh sb="0" eb="2">
      <t>ダイチョウ</t>
    </rPh>
    <rPh sb="2" eb="5">
      <t>ゴウケイガク</t>
    </rPh>
    <phoneticPr fontId="2"/>
  </si>
  <si>
    <t>差額</t>
    <rPh sb="0" eb="2">
      <t>サガク</t>
    </rPh>
    <phoneticPr fontId="2"/>
  </si>
  <si>
    <t>多分琵琶湖</t>
    <rPh sb="0" eb="5">
      <t>タブンビワコ</t>
    </rPh>
    <phoneticPr fontId="2"/>
  </si>
  <si>
    <t>前川克己</t>
    <rPh sb="0" eb="4">
      <t>マエカワカツミ</t>
    </rPh>
    <phoneticPr fontId="2"/>
  </si>
  <si>
    <t>中元翔太</t>
    <rPh sb="0" eb="2">
      <t>ナカモト</t>
    </rPh>
    <rPh sb="2" eb="4">
      <t>ショウタ</t>
    </rPh>
    <phoneticPr fontId="2"/>
  </si>
  <si>
    <t>高井康太</t>
    <rPh sb="0" eb="2">
      <t>タカイ</t>
    </rPh>
    <rPh sb="2" eb="4">
      <t>コウタ</t>
    </rPh>
    <phoneticPr fontId="2"/>
  </si>
  <si>
    <r>
      <t>　　　　　　　　　　2023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</si>
  <si>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r>
      <t>　　　　　　　　　　2 0 2 3   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21" eb="22">
      <t>チン</t>
    </rPh>
    <rPh sb="27" eb="28">
      <t>キン</t>
    </rPh>
    <rPh sb="32" eb="33">
      <t>ダイ</t>
    </rPh>
    <rPh sb="37" eb="38">
      <t>トバリ</t>
    </rPh>
    <rPh sb="42" eb="44">
      <t>ジョウジ</t>
    </rPh>
    <rPh sb="44" eb="46">
      <t>シヨウ</t>
    </rPh>
    <rPh sb="49" eb="52">
      <t>ロウドウシャ</t>
    </rPh>
    <rPh sb="53" eb="54">
      <t>タイ</t>
    </rPh>
    <phoneticPr fontId="3"/>
  </si>
  <si>
    <r>
      <t>　　　　　　　　　　　2023  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7" eb="18">
      <t>チン</t>
    </rPh>
    <rPh sb="23" eb="24">
      <t>キン</t>
    </rPh>
    <rPh sb="28" eb="29">
      <t>ダイ</t>
    </rPh>
    <rPh sb="33" eb="34">
      <t>トバリ</t>
    </rPh>
    <rPh sb="38" eb="40">
      <t>ジョウジ</t>
    </rPh>
    <rPh sb="40" eb="42">
      <t>シヨウ</t>
    </rPh>
    <rPh sb="45" eb="48">
      <t>ロウドウシャ</t>
    </rPh>
    <rPh sb="49" eb="50">
      <t>タイ</t>
    </rPh>
    <phoneticPr fontId="3"/>
  </si>
  <si>
    <r>
      <t>　　　　　　　　2023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</si>
  <si>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r>
      <t>　　　　　　　　　2023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</si>
  <si>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r>
      <t>　　　　　　　2023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</si>
  <si>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r>
      <t>　　　　　　2023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</si>
</sst>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6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94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8" fillId="0" borderId="21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3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right" vertical="center"/>
    </xf>
    <xf numFmtId="0" fontId="5" fillId="0" borderId="59" xfId="0" applyFont="1" applyBorder="1" applyAlignment="1">
      <alignment horizontal="left" vertical="center"/>
    </xf>
    <xf numFmtId="0" fontId="5" fillId="0" borderId="30" xfId="0" applyFont="1" applyBorder="1" applyAlignment="1">
      <alignment horizontal="right" vertical="center"/>
    </xf>
    <xf numFmtId="0" fontId="7" fillId="0" borderId="0" xfId="0" applyFont="1" applyAlignment="1">
      <alignment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textRotation="255"/>
    </xf>
    <xf numFmtId="0" fontId="5" fillId="0" borderId="0" xfId="0" applyFont="1" applyAlignment="1">
      <alignment shrinkToFit="1"/>
    </xf>
    <xf numFmtId="0" fontId="5" fillId="0" borderId="30" xfId="0" applyFont="1" applyBorder="1" applyAlignment="1">
      <alignment horizontal="right" vertical="center" shrinkToFit="1"/>
    </xf>
    <xf numFmtId="0" fontId="5" fillId="0" borderId="26" xfId="0" applyFont="1" applyBorder="1" applyAlignment="1">
      <alignment horizontal="left" vertical="center" shrinkToFit="1"/>
    </xf>
    <xf numFmtId="0" fontId="5" fillId="0" borderId="59" xfId="0" applyFont="1" applyBorder="1" applyAlignment="1">
      <alignment vertical="center"/>
    </xf>
    <xf numFmtId="6" fontId="7" fillId="0" borderId="0" xfId="0" applyNumberFormat="1" applyFont="1"/>
    <xf numFmtId="0" fontId="8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8" fontId="8" fillId="0" borderId="7" xfId="0" applyNumberFormat="1" applyFont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8" fillId="0" borderId="28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6" fontId="5" fillId="0" borderId="5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6" fontId="5" fillId="0" borderId="65" xfId="1" applyFont="1" applyBorder="1" applyAlignment="1">
      <alignment horizontal="center" vertical="center"/>
    </xf>
    <xf numFmtId="6" fontId="5" fillId="0" borderId="29" xfId="1" applyFont="1" applyBorder="1" applyAlignment="1">
      <alignment horizontal="center" vertical="center"/>
    </xf>
    <xf numFmtId="6" fontId="5" fillId="0" borderId="30" xfId="1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0" fontId="8" fillId="0" borderId="27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6" fontId="5" fillId="0" borderId="18" xfId="1" applyFont="1" applyBorder="1" applyAlignment="1">
      <alignment horizontal="center" vertical="center"/>
    </xf>
    <xf numFmtId="6" fontId="5" fillId="0" borderId="19" xfId="1" applyFont="1" applyBorder="1" applyAlignment="1">
      <alignment horizontal="center" vertical="center"/>
    </xf>
    <xf numFmtId="6" fontId="5" fillId="0" borderId="10" xfId="1" applyFont="1" applyBorder="1" applyAlignment="1">
      <alignment horizontal="center" vertical="center"/>
    </xf>
    <xf numFmtId="6" fontId="5" fillId="0" borderId="9" xfId="1" applyFont="1" applyBorder="1" applyAlignment="1">
      <alignment horizontal="center" vertical="center"/>
    </xf>
    <xf numFmtId="6" fontId="5" fillId="0" borderId="66" xfId="1" applyFont="1" applyBorder="1" applyAlignment="1">
      <alignment horizontal="center" vertical="center"/>
    </xf>
    <xf numFmtId="6" fontId="5" fillId="0" borderId="31" xfId="1" applyFont="1" applyBorder="1" applyAlignment="1">
      <alignment horizontal="center" vertical="center"/>
    </xf>
    <xf numFmtId="0" fontId="8" fillId="0" borderId="30" xfId="0" applyFont="1" applyBorder="1" applyAlignment="1">
      <alignment horizontal="distributed" vertical="center"/>
    </xf>
    <xf numFmtId="0" fontId="8" fillId="0" borderId="59" xfId="0" applyFont="1" applyBorder="1" applyAlignment="1">
      <alignment horizontal="distributed" vertical="center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6" fontId="5" fillId="0" borderId="67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0" fontId="8" fillId="0" borderId="54" xfId="0" applyFont="1" applyBorder="1" applyAlignment="1">
      <alignment horizontal="distributed" vertical="center"/>
    </xf>
    <xf numFmtId="0" fontId="8" fillId="0" borderId="57" xfId="0" applyFont="1" applyBorder="1" applyAlignment="1">
      <alignment horizontal="distributed" vertical="center"/>
    </xf>
    <xf numFmtId="0" fontId="8" fillId="0" borderId="55" xfId="0" applyFont="1" applyBorder="1" applyAlignment="1">
      <alignment horizontal="distributed" vertical="center"/>
    </xf>
    <xf numFmtId="6" fontId="5" fillId="0" borderId="46" xfId="1" applyFont="1" applyBorder="1" applyAlignment="1">
      <alignment horizontal="center" vertical="center"/>
    </xf>
    <xf numFmtId="6" fontId="5" fillId="0" borderId="47" xfId="1" applyFont="1" applyBorder="1" applyAlignment="1">
      <alignment horizontal="center" vertical="center"/>
    </xf>
    <xf numFmtId="6" fontId="5" fillId="0" borderId="71" xfId="1" applyFont="1" applyBorder="1" applyAlignment="1">
      <alignment horizontal="center" vertical="center"/>
    </xf>
    <xf numFmtId="6" fontId="5" fillId="0" borderId="58" xfId="1" applyFont="1" applyBorder="1" applyAlignment="1">
      <alignment horizontal="center" vertical="center"/>
    </xf>
    <xf numFmtId="6" fontId="5" fillId="0" borderId="41" xfId="1" applyFont="1" applyBorder="1" applyAlignment="1">
      <alignment horizontal="center" vertical="center"/>
    </xf>
    <xf numFmtId="6" fontId="5" fillId="0" borderId="42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/>
    </xf>
    <xf numFmtId="6" fontId="5" fillId="0" borderId="43" xfId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textRotation="255"/>
    </xf>
    <xf numFmtId="0" fontId="8" fillId="0" borderId="2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6" fontId="5" fillId="0" borderId="22" xfId="1" applyFont="1" applyBorder="1" applyAlignment="1">
      <alignment horizontal="center" vertical="center"/>
    </xf>
    <xf numFmtId="6" fontId="5" fillId="0" borderId="23" xfId="1" applyFont="1" applyBorder="1" applyAlignment="1">
      <alignment horizontal="center" vertical="center"/>
    </xf>
    <xf numFmtId="0" fontId="8" fillId="0" borderId="39" xfId="0" applyFont="1" applyBorder="1" applyAlignment="1">
      <alignment horizontal="distributed" vertical="center"/>
    </xf>
    <xf numFmtId="0" fontId="8" fillId="0" borderId="42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/>
    </xf>
    <xf numFmtId="6" fontId="5" fillId="0" borderId="64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6" fontId="5" fillId="0" borderId="68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6" fontId="5" fillId="0" borderId="36" xfId="1" applyFont="1" applyBorder="1" applyAlignment="1">
      <alignment horizontal="center" vertical="center"/>
    </xf>
    <xf numFmtId="6" fontId="5" fillId="0" borderId="37" xfId="1" applyFont="1" applyBorder="1" applyAlignment="1">
      <alignment horizontal="center" vertical="center"/>
    </xf>
    <xf numFmtId="6" fontId="5" fillId="0" borderId="63" xfId="1" applyFont="1" applyBorder="1" applyAlignment="1">
      <alignment horizontal="center" vertical="center"/>
    </xf>
    <xf numFmtId="6" fontId="5" fillId="0" borderId="70" xfId="1" applyFont="1" applyBorder="1" applyAlignment="1">
      <alignment horizontal="center" vertical="center"/>
    </xf>
    <xf numFmtId="6" fontId="5" fillId="0" borderId="38" xfId="1" applyFont="1" applyBorder="1" applyAlignment="1">
      <alignment horizontal="center" vertical="center"/>
    </xf>
    <xf numFmtId="6" fontId="5" fillId="0" borderId="61" xfId="1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8" fillId="0" borderId="37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 vertical="center"/>
    </xf>
    <xf numFmtId="6" fontId="5" fillId="0" borderId="65" xfId="1" applyFont="1" applyBorder="1" applyAlignment="1">
      <alignment horizontal="center" vertical="center" shrinkToFit="1"/>
    </xf>
    <xf numFmtId="6" fontId="5" fillId="0" borderId="29" xfId="1" applyFont="1" applyBorder="1" applyAlignment="1">
      <alignment horizontal="center" vertical="center" shrinkToFit="1"/>
    </xf>
    <xf numFmtId="6" fontId="5" fillId="0" borderId="30" xfId="1" applyFont="1" applyBorder="1" applyAlignment="1">
      <alignment horizontal="center" vertical="center" shrinkToFit="1"/>
    </xf>
    <xf numFmtId="6" fontId="5" fillId="0" borderId="26" xfId="1" applyFont="1" applyBorder="1" applyAlignment="1">
      <alignment horizontal="center" vertical="center" shrinkToFit="1"/>
    </xf>
    <xf numFmtId="6" fontId="5" fillId="0" borderId="66" xfId="1" applyFont="1" applyBorder="1" applyAlignment="1">
      <alignment horizontal="center" vertical="center" shrinkToFit="1"/>
    </xf>
    <xf numFmtId="6" fontId="5" fillId="0" borderId="31" xfId="1" applyFont="1" applyBorder="1" applyAlignment="1">
      <alignment horizontal="center" vertical="center" shrinkToFit="1"/>
    </xf>
    <xf numFmtId="6" fontId="5" fillId="0" borderId="67" xfId="1" applyFont="1" applyBorder="1" applyAlignment="1">
      <alignment horizontal="center" vertical="center" shrinkToFit="1"/>
    </xf>
    <xf numFmtId="6" fontId="5" fillId="0" borderId="33" xfId="1" applyFont="1" applyBorder="1" applyAlignment="1">
      <alignment horizontal="center" vertical="center" shrinkToFit="1"/>
    </xf>
    <xf numFmtId="6" fontId="5" fillId="0" borderId="56" xfId="1" applyFont="1" applyBorder="1" applyAlignment="1">
      <alignment horizontal="center" vertical="center"/>
    </xf>
    <xf numFmtId="6" fontId="5" fillId="0" borderId="57" xfId="1" applyFont="1" applyBorder="1" applyAlignment="1">
      <alignment horizontal="center" vertical="center"/>
    </xf>
    <xf numFmtId="6" fontId="5" fillId="0" borderId="71" xfId="1" applyFont="1" applyBorder="1" applyAlignment="1">
      <alignment horizontal="center" vertical="center" shrinkToFit="1"/>
    </xf>
    <xf numFmtId="6" fontId="5" fillId="0" borderId="58" xfId="1" applyFont="1" applyBorder="1" applyAlignment="1">
      <alignment horizontal="center" vertical="center" shrinkToFit="1"/>
    </xf>
    <xf numFmtId="6" fontId="5" fillId="0" borderId="69" xfId="1" applyFont="1" applyBorder="1" applyAlignment="1">
      <alignment horizontal="center" vertical="center" shrinkToFit="1"/>
    </xf>
    <xf numFmtId="6" fontId="5" fillId="0" borderId="43" xfId="1" applyFont="1" applyBorder="1" applyAlignment="1">
      <alignment horizontal="center" vertical="center" shrinkToFit="1"/>
    </xf>
    <xf numFmtId="6" fontId="5" fillId="0" borderId="59" xfId="1" applyFont="1" applyBorder="1" applyAlignment="1">
      <alignment horizontal="center" vertical="center"/>
    </xf>
    <xf numFmtId="6" fontId="5" fillId="0" borderId="64" xfId="1" applyFont="1" applyBorder="1" applyAlignment="1">
      <alignment horizontal="center" vertical="center" shrinkToFit="1"/>
    </xf>
    <xf numFmtId="6" fontId="5" fillId="0" borderId="24" xfId="1" applyFont="1" applyBorder="1" applyAlignment="1">
      <alignment horizontal="center" vertical="center" shrinkToFit="1"/>
    </xf>
    <xf numFmtId="6" fontId="5" fillId="0" borderId="68" xfId="1" applyFont="1" applyBorder="1" applyAlignment="1">
      <alignment horizontal="center" vertical="center" shrinkToFit="1"/>
    </xf>
    <xf numFmtId="6" fontId="5" fillId="0" borderId="48" xfId="1" applyFont="1" applyBorder="1" applyAlignment="1">
      <alignment horizontal="center" vertical="center" shrinkToFit="1"/>
    </xf>
    <xf numFmtId="6" fontId="5" fillId="0" borderId="62" xfId="1" applyFont="1" applyBorder="1" applyAlignment="1">
      <alignment horizontal="center" vertical="center"/>
    </xf>
    <xf numFmtId="6" fontId="5" fillId="0" borderId="70" xfId="1" applyFont="1" applyBorder="1" applyAlignment="1">
      <alignment horizontal="center" vertical="center" shrinkToFit="1"/>
    </xf>
    <xf numFmtId="6" fontId="5" fillId="0" borderId="38" xfId="1" applyFont="1" applyBorder="1" applyAlignment="1">
      <alignment horizontal="center" vertical="center" shrinkToFit="1"/>
    </xf>
    <xf numFmtId="6" fontId="7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6" fontId="5" fillId="0" borderId="3" xfId="1" applyFont="1" applyBorder="1" applyAlignment="1">
      <alignment horizontal="center" vertical="center"/>
    </xf>
    <xf numFmtId="0" fontId="8" fillId="0" borderId="50" xfId="0" applyFont="1" applyBorder="1" applyAlignment="1">
      <alignment horizontal="distributed" vertical="center"/>
    </xf>
    <xf numFmtId="0" fontId="8" fillId="0" borderId="72" xfId="0" applyFont="1" applyBorder="1" applyAlignment="1">
      <alignment horizontal="distributed" vertical="center"/>
    </xf>
    <xf numFmtId="0" fontId="8" fillId="0" borderId="73" xfId="0" applyFont="1" applyBorder="1" applyAlignment="1">
      <alignment horizontal="distributed" vertical="center"/>
    </xf>
    <xf numFmtId="6" fontId="5" fillId="0" borderId="74" xfId="1" applyFont="1" applyBorder="1" applyAlignment="1">
      <alignment horizontal="center" vertical="center"/>
    </xf>
    <xf numFmtId="6" fontId="5" fillId="0" borderId="72" xfId="1" applyFont="1" applyBorder="1" applyAlignment="1">
      <alignment horizontal="center" vertical="center"/>
    </xf>
    <xf numFmtId="6" fontId="5" fillId="0" borderId="1" xfId="1" applyFont="1" applyBorder="1" applyAlignment="1">
      <alignment horizontal="center" vertical="center"/>
    </xf>
    <xf numFmtId="6" fontId="5" fillId="0" borderId="75" xfId="1" applyFont="1" applyBorder="1" applyAlignment="1">
      <alignment horizontal="center" vertical="center"/>
    </xf>
    <xf numFmtId="6" fontId="5" fillId="0" borderId="76" xfId="1" applyFont="1" applyBorder="1" applyAlignment="1">
      <alignment horizontal="center" vertical="center"/>
    </xf>
    <xf numFmtId="6" fontId="5" fillId="0" borderId="8" xfId="1" applyFont="1" applyBorder="1" applyAlignment="1">
      <alignment horizontal="center" vertical="center"/>
    </xf>
    <xf numFmtId="0" fontId="8" fillId="0" borderId="68" xfId="0" applyFont="1" applyBorder="1" applyAlignment="1">
      <alignment horizontal="distributed" vertical="center"/>
    </xf>
    <xf numFmtId="0" fontId="8" fillId="0" borderId="62" xfId="0" applyFont="1" applyBorder="1" applyAlignment="1">
      <alignment horizontal="distributed" vertical="center"/>
    </xf>
    <xf numFmtId="0" fontId="8" fillId="0" borderId="47" xfId="0" applyFont="1" applyBorder="1" applyAlignment="1">
      <alignment horizontal="distributed" vertical="center"/>
    </xf>
    <xf numFmtId="6" fontId="5" fillId="0" borderId="60" xfId="1" applyFont="1" applyBorder="1" applyAlignment="1">
      <alignment horizontal="center" vertical="center"/>
    </xf>
    <xf numFmtId="6" fontId="5" fillId="0" borderId="77" xfId="1" applyFont="1" applyBorder="1" applyAlignment="1">
      <alignment horizontal="center" vertical="center"/>
    </xf>
    <xf numFmtId="6" fontId="5" fillId="2" borderId="18" xfId="1" applyFont="1" applyFill="1" applyBorder="1" applyAlignment="1">
      <alignment horizontal="center" vertical="center"/>
    </xf>
    <xf numFmtId="6" fontId="5" fillId="2" borderId="19" xfId="1" applyFont="1" applyFill="1" applyBorder="1" applyAlignment="1">
      <alignment horizontal="center" vertical="center"/>
    </xf>
    <xf numFmtId="0" fontId="5" fillId="0" borderId="6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32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6" fontId="5" fillId="0" borderId="52" xfId="1" applyFont="1" applyBorder="1" applyAlignment="1">
      <alignment horizontal="center" vertical="center"/>
    </xf>
    <xf numFmtId="6" fontId="5" fillId="0" borderId="53" xfId="1" applyFont="1" applyBorder="1" applyAlignment="1">
      <alignment horizontal="center" vertical="center"/>
    </xf>
    <xf numFmtId="6" fontId="5" fillId="0" borderId="5" xfId="1" applyFont="1" applyBorder="1" applyAlignment="1">
      <alignment horizontal="center" vertical="center" shrinkToFit="1"/>
    </xf>
    <xf numFmtId="6" fontId="5" fillId="0" borderId="14" xfId="1" applyFont="1" applyBorder="1" applyAlignment="1">
      <alignment horizontal="center" vertical="center" shrinkToFit="1"/>
    </xf>
    <xf numFmtId="6" fontId="5" fillId="0" borderId="10" xfId="1" applyFont="1" applyBorder="1" applyAlignment="1">
      <alignment horizontal="center" vertical="center" shrinkToFit="1"/>
    </xf>
    <xf numFmtId="6" fontId="5" fillId="0" borderId="18" xfId="1" applyFont="1" applyBorder="1" applyAlignment="1">
      <alignment horizontal="center" vertical="center" shrinkToFit="1"/>
    </xf>
    <xf numFmtId="6" fontId="5" fillId="0" borderId="56" xfId="1" applyFont="1" applyBorder="1" applyAlignment="1">
      <alignment horizontal="center" vertical="center" shrinkToFit="1"/>
    </xf>
    <xf numFmtId="6" fontId="5" fillId="0" borderId="41" xfId="1" applyFont="1" applyBorder="1" applyAlignment="1">
      <alignment horizontal="center" vertical="center" shrinkToFit="1"/>
    </xf>
    <xf numFmtId="6" fontId="5" fillId="0" borderId="22" xfId="1" applyFont="1" applyBorder="1" applyAlignment="1">
      <alignment horizontal="center" vertical="center" shrinkToFit="1"/>
    </xf>
    <xf numFmtId="6" fontId="5" fillId="0" borderId="46" xfId="1" applyFont="1" applyBorder="1" applyAlignment="1">
      <alignment horizontal="center" vertical="center" shrinkToFit="1"/>
    </xf>
    <xf numFmtId="6" fontId="5" fillId="0" borderId="36" xfId="1" applyFont="1" applyBorder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97E91FE0-7D17-4194-BC00-0257BB1E67DD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92AD2584-609F-4863-A3E3-E8E28CA4025D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BF44373-F05A-423F-9924-58D5B131E02C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9ABA2EF1-F62F-4082-965A-A940933681AA}"/>
            </a:ext>
          </a:extLst>
        </xdr:cNvPr>
        <xdr:cNvSpPr>
          <a:spLocks noChangeArrowheads="1"/>
        </xdr:cNvSpPr>
      </xdr:nvSpPr>
      <xdr:spPr bwMode="auto">
        <a:xfrm>
          <a:off x="11287124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9FFA3DC-11E3-44DF-9382-1A92B0C8FE48}"/>
            </a:ext>
          </a:extLst>
        </xdr:cNvPr>
        <xdr:cNvSpPr>
          <a:spLocks noChangeArrowheads="1"/>
        </xdr:cNvSpPr>
      </xdr:nvSpPr>
      <xdr:spPr bwMode="auto">
        <a:xfrm>
          <a:off x="1131569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AF30049-6664-4691-98EF-9F18EA6AE41D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19049</xdr:colOff>
      <xdr:row>3</xdr:row>
      <xdr:rowOff>76201</xdr:rowOff>
    </xdr:from>
    <xdr:to>
      <xdr:col>27</xdr:col>
      <xdr:colOff>333374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B203D1E0-9859-48F1-9B44-7AF631BA5ADA}"/>
            </a:ext>
          </a:extLst>
        </xdr:cNvPr>
        <xdr:cNvSpPr>
          <a:spLocks noChangeArrowheads="1"/>
        </xdr:cNvSpPr>
      </xdr:nvSpPr>
      <xdr:spPr bwMode="auto">
        <a:xfrm>
          <a:off x="11630024" y="66675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46DBE45-34A1-401F-A2D6-9E864F43139D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B9B3EBB2-DF54-4493-817C-B18638286F1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5F3342A-915E-49B6-B71A-84F624F98B45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E0F308E-E46C-47AA-8170-DC5A1BC3AF72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14CAB1C-D6D9-474E-9A27-53F34A817D5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57FE46B-C3D2-4697-AC88-4DC0D7039B3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4393815-FBA1-4ADB-A99A-3A98FD18363F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CAFE991-3116-4620-B497-4E37130722C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0BC162F-2C06-41B8-A9A9-A485A10D2078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114300</xdr:colOff>
      <xdr:row>3</xdr:row>
      <xdr:rowOff>85725</xdr:rowOff>
    </xdr:from>
    <xdr:to>
      <xdr:col>26</xdr:col>
      <xdr:colOff>0</xdr:colOff>
      <xdr:row>3</xdr:row>
      <xdr:rowOff>400049</xdr:rowOff>
    </xdr:to>
    <xdr:sp macro="" textlink="">
      <xdr:nvSpPr>
        <xdr:cNvPr id="5" name="Oval 5">
          <a:extLst>
            <a:ext uri="{FF2B5EF4-FFF2-40B4-BE49-F238E27FC236}">
              <a16:creationId xmlns:a16="http://schemas.microsoft.com/office/drawing/2014/main" id="{6B1CD646-2691-437F-934A-C453B8317548}"/>
            </a:ext>
          </a:extLst>
        </xdr:cNvPr>
        <xdr:cNvSpPr>
          <a:spLocks noChangeArrowheads="1"/>
        </xdr:cNvSpPr>
      </xdr:nvSpPr>
      <xdr:spPr bwMode="auto">
        <a:xfrm>
          <a:off x="11258550" y="67627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19049</xdr:colOff>
      <xdr:row>3</xdr:row>
      <xdr:rowOff>76201</xdr:rowOff>
    </xdr:from>
    <xdr:to>
      <xdr:col>27</xdr:col>
      <xdr:colOff>333374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2242811-4AED-42AA-A861-83729728DCC8}"/>
            </a:ext>
          </a:extLst>
        </xdr:cNvPr>
        <xdr:cNvSpPr>
          <a:spLocks noChangeArrowheads="1"/>
        </xdr:cNvSpPr>
      </xdr:nvSpPr>
      <xdr:spPr bwMode="auto">
        <a:xfrm>
          <a:off x="11630024" y="66675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114299</xdr:colOff>
      <xdr:row>3</xdr:row>
      <xdr:rowOff>76201</xdr:rowOff>
    </xdr:from>
    <xdr:to>
      <xdr:col>26</xdr:col>
      <xdr:colOff>428624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140825EE-6522-4375-9DD0-914842172A29}"/>
            </a:ext>
          </a:extLst>
        </xdr:cNvPr>
        <xdr:cNvSpPr>
          <a:spLocks noChangeArrowheads="1"/>
        </xdr:cNvSpPr>
      </xdr:nvSpPr>
      <xdr:spPr bwMode="auto">
        <a:xfrm>
          <a:off x="11296649" y="66675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9524</xdr:colOff>
      <xdr:row>3</xdr:row>
      <xdr:rowOff>66676</xdr:rowOff>
    </xdr:from>
    <xdr:to>
      <xdr:col>27</xdr:col>
      <xdr:colOff>323849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9E5F5AC-203A-4CEC-B417-83F0D81BA6C6}"/>
            </a:ext>
          </a:extLst>
        </xdr:cNvPr>
        <xdr:cNvSpPr>
          <a:spLocks noChangeArrowheads="1"/>
        </xdr:cNvSpPr>
      </xdr:nvSpPr>
      <xdr:spPr bwMode="auto">
        <a:xfrm>
          <a:off x="11620499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104774</xdr:colOff>
      <xdr:row>3</xdr:row>
      <xdr:rowOff>66676</xdr:rowOff>
    </xdr:from>
    <xdr:to>
      <xdr:col>26</xdr:col>
      <xdr:colOff>419099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DC9FE2E0-31DF-4EC9-AB0D-250EFEE0D689}"/>
            </a:ext>
          </a:extLst>
        </xdr:cNvPr>
        <xdr:cNvSpPr>
          <a:spLocks noChangeArrowheads="1"/>
        </xdr:cNvSpPr>
      </xdr:nvSpPr>
      <xdr:spPr bwMode="auto">
        <a:xfrm>
          <a:off x="11287124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19049</xdr:colOff>
      <xdr:row>3</xdr:row>
      <xdr:rowOff>76201</xdr:rowOff>
    </xdr:from>
    <xdr:to>
      <xdr:col>27</xdr:col>
      <xdr:colOff>333374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BA52579-C984-43B0-8BD4-0C5B01E2453D}"/>
            </a:ext>
          </a:extLst>
        </xdr:cNvPr>
        <xdr:cNvSpPr>
          <a:spLocks noChangeArrowheads="1"/>
        </xdr:cNvSpPr>
      </xdr:nvSpPr>
      <xdr:spPr bwMode="auto">
        <a:xfrm>
          <a:off x="11630024" y="66675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104774</xdr:colOff>
      <xdr:row>3</xdr:row>
      <xdr:rowOff>76201</xdr:rowOff>
    </xdr:from>
    <xdr:to>
      <xdr:col>26</xdr:col>
      <xdr:colOff>419099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6DE2799-A44D-4F28-8357-39C48E2ACC30}"/>
            </a:ext>
          </a:extLst>
        </xdr:cNvPr>
        <xdr:cNvSpPr>
          <a:spLocks noChangeArrowheads="1"/>
        </xdr:cNvSpPr>
      </xdr:nvSpPr>
      <xdr:spPr bwMode="auto">
        <a:xfrm>
          <a:off x="11287124" y="66675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19049</xdr:colOff>
      <xdr:row>3</xdr:row>
      <xdr:rowOff>76201</xdr:rowOff>
    </xdr:from>
    <xdr:to>
      <xdr:col>27</xdr:col>
      <xdr:colOff>333374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9A56CEB-7C15-441A-920D-ED5F3AFE010B}"/>
            </a:ext>
          </a:extLst>
        </xdr:cNvPr>
        <xdr:cNvSpPr>
          <a:spLocks noChangeArrowheads="1"/>
        </xdr:cNvSpPr>
      </xdr:nvSpPr>
      <xdr:spPr bwMode="auto">
        <a:xfrm>
          <a:off x="11630024" y="66675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19049</xdr:colOff>
      <xdr:row>3</xdr:row>
      <xdr:rowOff>76201</xdr:rowOff>
    </xdr:from>
    <xdr:to>
      <xdr:col>27</xdr:col>
      <xdr:colOff>333374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F3BAF2D2-4788-49EF-ABD3-243E550BE64E}"/>
            </a:ext>
          </a:extLst>
        </xdr:cNvPr>
        <xdr:cNvSpPr>
          <a:spLocks noChangeArrowheads="1"/>
        </xdr:cNvSpPr>
      </xdr:nvSpPr>
      <xdr:spPr bwMode="auto">
        <a:xfrm>
          <a:off x="11630024" y="66675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CA56697-8B01-4F61-B9B0-CF241BF9804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6A9B136-B2DD-45BC-A7A9-77EC8CE2295D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12AC476-8515-4C55-9E0F-52B2EF9C2E20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0ED6D20-1394-412D-AD18-4CC720ECEFF2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B00C6DE1-2EEC-4629-9B3E-778FB550C77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DCECBF1F-EFA6-44F3-9DA8-C7E93C780FC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02EC1E9-E79C-475E-AA3D-6EFBF8636E7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419099</xdr:colOff>
      <xdr:row>3</xdr:row>
      <xdr:rowOff>66676</xdr:rowOff>
    </xdr:from>
    <xdr:to>
      <xdr:col>27</xdr:col>
      <xdr:colOff>304799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336B595-6262-44C1-AD12-18E926D0F452}"/>
            </a:ext>
          </a:extLst>
        </xdr:cNvPr>
        <xdr:cNvSpPr>
          <a:spLocks noChangeArrowheads="1"/>
        </xdr:cNvSpPr>
      </xdr:nvSpPr>
      <xdr:spPr bwMode="auto">
        <a:xfrm>
          <a:off x="11544299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409574</xdr:colOff>
      <xdr:row>3</xdr:row>
      <xdr:rowOff>66676</xdr:rowOff>
    </xdr:from>
    <xdr:to>
      <xdr:col>27</xdr:col>
      <xdr:colOff>295274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BEC4035-CCAA-4F98-B0D1-8C6BFE7E8CDE}"/>
            </a:ext>
          </a:extLst>
        </xdr:cNvPr>
        <xdr:cNvSpPr>
          <a:spLocks noChangeArrowheads="1"/>
        </xdr:cNvSpPr>
      </xdr:nvSpPr>
      <xdr:spPr bwMode="auto">
        <a:xfrm>
          <a:off x="11534774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EF03139-3742-40A6-AF8C-E46A67FB139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428624</xdr:colOff>
      <xdr:row>3</xdr:row>
      <xdr:rowOff>57151</xdr:rowOff>
    </xdr:from>
    <xdr:to>
      <xdr:col>27</xdr:col>
      <xdr:colOff>314324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D21B63D-DA1E-4951-8AFE-9081798B441F}"/>
            </a:ext>
          </a:extLst>
        </xdr:cNvPr>
        <xdr:cNvSpPr>
          <a:spLocks noChangeArrowheads="1"/>
        </xdr:cNvSpPr>
      </xdr:nvSpPr>
      <xdr:spPr bwMode="auto">
        <a:xfrm>
          <a:off x="11553824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1DFB-2FB5-484E-99C9-A4702B3F88A7}">
  <sheetPr>
    <tabColor theme="5"/>
  </sheetPr>
  <dimension ref="A1:AC30"/>
  <sheetViews>
    <sheetView topLeftCell="B9" workbookViewId="0">
      <selection activeCell="Z30" sqref="Z30:AA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126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>
        <v>15</v>
      </c>
      <c r="U7" s="4" t="s">
        <v>21</v>
      </c>
      <c r="V7" s="3">
        <v>10</v>
      </c>
      <c r="W7" s="4" t="s">
        <v>21</v>
      </c>
      <c r="X7" s="3">
        <v>10</v>
      </c>
      <c r="Y7" s="4" t="s">
        <v>21</v>
      </c>
      <c r="Z7" s="3">
        <v>12</v>
      </c>
      <c r="AA7" s="4" t="s">
        <v>21</v>
      </c>
      <c r="AB7" s="24"/>
      <c r="AC7" s="9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>
        <v>5</v>
      </c>
      <c r="W8" s="4" t="s">
        <v>21</v>
      </c>
      <c r="X8" s="3">
        <v>2</v>
      </c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>
        <v>4</v>
      </c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5" t="s">
        <v>69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/>
      <c r="E11" s="75"/>
      <c r="F11" s="74"/>
      <c r="G11" s="75"/>
      <c r="H11" s="74"/>
      <c r="I11" s="75"/>
      <c r="J11" s="74"/>
      <c r="K11" s="75"/>
      <c r="L11" s="74"/>
      <c r="M11" s="75"/>
      <c r="N11" s="74"/>
      <c r="O11" s="75"/>
      <c r="P11" s="74"/>
      <c r="Q11" s="75"/>
      <c r="R11" s="74"/>
      <c r="S11" s="75"/>
      <c r="T11" s="74">
        <v>10000</v>
      </c>
      <c r="U11" s="75"/>
      <c r="V11" s="74">
        <v>10000</v>
      </c>
      <c r="W11" s="75"/>
      <c r="X11" s="74">
        <v>10000</v>
      </c>
      <c r="Y11" s="75"/>
      <c r="Z11" s="74">
        <v>10000</v>
      </c>
      <c r="AA11" s="75"/>
      <c r="AB11" s="76"/>
      <c r="AC11" s="77"/>
    </row>
    <row r="12" spans="1:29" ht="24.75" customHeight="1">
      <c r="A12" s="65" t="s">
        <v>49</v>
      </c>
      <c r="B12" s="66"/>
      <c r="C12" s="67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>
        <v>1562</v>
      </c>
      <c r="U12" s="59"/>
      <c r="V12" s="58">
        <v>1562</v>
      </c>
      <c r="W12" s="59"/>
      <c r="X12" s="58">
        <v>1562</v>
      </c>
      <c r="Y12" s="59"/>
      <c r="Z12" s="58">
        <v>1562</v>
      </c>
      <c r="AA12" s="59"/>
      <c r="AB12" s="78"/>
      <c r="AC12" s="79"/>
    </row>
    <row r="13" spans="1:29" ht="24.75" customHeight="1">
      <c r="A13" s="89" t="s">
        <v>27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>
        <v>12500</v>
      </c>
      <c r="U13" s="59"/>
      <c r="V13" s="58">
        <v>12500</v>
      </c>
      <c r="W13" s="59"/>
      <c r="X13" s="58">
        <v>12500</v>
      </c>
      <c r="Y13" s="59"/>
      <c r="Z13" s="58">
        <v>12500</v>
      </c>
      <c r="AA13" s="59"/>
      <c r="AB13" s="78"/>
      <c r="AC13" s="79"/>
    </row>
    <row r="14" spans="1:29" ht="24.75" customHeight="1" thickBot="1">
      <c r="A14" s="80" t="s">
        <v>50</v>
      </c>
      <c r="B14" s="81"/>
      <c r="C14" s="82"/>
      <c r="D14" s="83"/>
      <c r="E14" s="84"/>
      <c r="F14" s="83"/>
      <c r="G14" s="84"/>
      <c r="H14" s="83"/>
      <c r="I14" s="84"/>
      <c r="J14" s="83"/>
      <c r="K14" s="84"/>
      <c r="L14" s="83"/>
      <c r="M14" s="84"/>
      <c r="N14" s="83"/>
      <c r="O14" s="84"/>
      <c r="P14" s="83"/>
      <c r="Q14" s="84"/>
      <c r="R14" s="85"/>
      <c r="S14" s="86"/>
      <c r="T14" s="85">
        <v>1953</v>
      </c>
      <c r="U14" s="86"/>
      <c r="V14" s="85">
        <v>1953</v>
      </c>
      <c r="W14" s="86"/>
      <c r="X14" s="85">
        <v>1953</v>
      </c>
      <c r="Y14" s="86"/>
      <c r="Z14" s="85">
        <v>1953</v>
      </c>
      <c r="AA14" s="86"/>
      <c r="AB14" s="87"/>
      <c r="AC14" s="88"/>
    </row>
    <row r="15" spans="1:29" ht="24.75" customHeight="1" thickTop="1">
      <c r="A15" s="91" t="s">
        <v>42</v>
      </c>
      <c r="B15" s="28"/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96"/>
      <c r="AC15" s="97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78"/>
      <c r="AC16" s="79"/>
    </row>
    <row r="17" spans="1:29" ht="24.75" customHeight="1">
      <c r="A17" s="92"/>
      <c r="B17" s="16" t="s">
        <v>102</v>
      </c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78"/>
      <c r="AC17" s="79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>
        <v>15000</v>
      </c>
      <c r="U18" s="59"/>
      <c r="V18" s="58">
        <v>10000</v>
      </c>
      <c r="W18" s="59"/>
      <c r="X18" s="58">
        <v>10000</v>
      </c>
      <c r="Y18" s="59"/>
      <c r="Z18" s="58">
        <v>10000</v>
      </c>
      <c r="AA18" s="59"/>
      <c r="AB18" s="78"/>
      <c r="AC18" s="79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78"/>
      <c r="AC19" s="79"/>
    </row>
    <row r="20" spans="1:29" ht="24.75" customHeight="1" thickBot="1">
      <c r="A20" s="93"/>
      <c r="B20" s="52" t="s">
        <v>30</v>
      </c>
      <c r="C20" s="48"/>
      <c r="D20" s="85"/>
      <c r="E20" s="86"/>
      <c r="F20" s="85"/>
      <c r="G20" s="86"/>
      <c r="H20" s="85"/>
      <c r="I20" s="86"/>
      <c r="J20" s="85"/>
      <c r="K20" s="86"/>
      <c r="L20" s="85"/>
      <c r="M20" s="86"/>
      <c r="N20" s="85"/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87"/>
      <c r="AC20" s="88"/>
    </row>
    <row r="21" spans="1:29" ht="24.75" customHeight="1" thickTop="1">
      <c r="A21" s="71" t="s">
        <v>31</v>
      </c>
      <c r="B21" s="72"/>
      <c r="C21" s="73"/>
      <c r="D21" s="74">
        <f>INT(D7*D11+D9*D12)</f>
        <v>0</v>
      </c>
      <c r="E21" s="75"/>
      <c r="F21" s="74">
        <f>INT(F7*F11+F9*F12+F17)</f>
        <v>0</v>
      </c>
      <c r="G21" s="75"/>
      <c r="H21" s="74">
        <f t="shared" ref="H21" si="0">INT(H7*H11+H8*H13+H10*H12+H15+H16+H17+H18+H19+H20)</f>
        <v>0</v>
      </c>
      <c r="I21" s="75"/>
      <c r="J21" s="74">
        <f>INT(J7*J11+J9*J12+J17)</f>
        <v>0</v>
      </c>
      <c r="K21" s="75"/>
      <c r="L21" s="74">
        <f t="shared" ref="L21" si="1">INT(L7*L11+L8*L13+L10*L12+L15+L16+L17+L18+L19+L20)</f>
        <v>0</v>
      </c>
      <c r="M21" s="75"/>
      <c r="N21" s="74">
        <f t="shared" ref="N21" si="2">INT(N7*N11+N8*N13+N10*N12+N15+N16+N17+N18+N19+N20)</f>
        <v>0</v>
      </c>
      <c r="O21" s="75"/>
      <c r="P21" s="74">
        <f t="shared" ref="P21" si="3">INT(P7*P11+P8*P13+P10*P12+P15+P16+P17+P18+P19+P20)</f>
        <v>0</v>
      </c>
      <c r="Q21" s="75"/>
      <c r="R21" s="74">
        <f>INT(R7*R11+R8*R13+R9*R12+R15+R16+R17+R18+R19+R20+R10*R14)</f>
        <v>0</v>
      </c>
      <c r="S21" s="75"/>
      <c r="T21" s="74">
        <f>INT(T7*T11+T8*T13+T9*T12+T15+T16+T17+T18+T19+T20)</f>
        <v>165000</v>
      </c>
      <c r="U21" s="75"/>
      <c r="V21" s="74">
        <f>INT(V7*V11+V8*V13+V9*V12+V15+V16+V17+V18+V19+V20)</f>
        <v>178748</v>
      </c>
      <c r="W21" s="75"/>
      <c r="X21" s="74">
        <f t="shared" ref="X21" si="4">INT(X7*X11+X8*X13+X10*X12+X15+X16+X17+X18+X19+X20)</f>
        <v>135000</v>
      </c>
      <c r="Y21" s="75"/>
      <c r="Z21" s="74">
        <f>INT(Z7*Z11+Z8*Z13+Z9*Z12+Z15+Z16+Z17+Z18+Z19+Z20)</f>
        <v>130000</v>
      </c>
      <c r="AA21" s="75"/>
      <c r="AB21" s="96"/>
      <c r="AC21" s="97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03"/>
      <c r="AC22" s="104"/>
    </row>
    <row r="23" spans="1:29" ht="24.75" customHeight="1" thickBot="1">
      <c r="A23" s="117" t="s">
        <v>20</v>
      </c>
      <c r="B23" s="118"/>
      <c r="C23" s="119"/>
      <c r="D23" s="105">
        <f>D21+D22</f>
        <v>0</v>
      </c>
      <c r="E23" s="106"/>
      <c r="F23" s="105">
        <f t="shared" ref="F23" si="5">F21+F22</f>
        <v>0</v>
      </c>
      <c r="G23" s="106"/>
      <c r="H23" s="105">
        <f t="shared" ref="H23" si="6">H21+H22</f>
        <v>0</v>
      </c>
      <c r="I23" s="106"/>
      <c r="J23" s="105">
        <f t="shared" ref="J23" si="7">J21+J22</f>
        <v>0</v>
      </c>
      <c r="K23" s="106"/>
      <c r="L23" s="105">
        <f t="shared" ref="L23" si="8">L21+L22</f>
        <v>0</v>
      </c>
      <c r="M23" s="106"/>
      <c r="N23" s="105">
        <f t="shared" ref="N23" si="9">N21+N22</f>
        <v>0</v>
      </c>
      <c r="O23" s="106"/>
      <c r="P23" s="105">
        <f t="shared" ref="P23" si="10">P21+P22</f>
        <v>0</v>
      </c>
      <c r="Q23" s="106"/>
      <c r="R23" s="105">
        <f t="shared" ref="R23" si="11">R21+R22</f>
        <v>0</v>
      </c>
      <c r="S23" s="106"/>
      <c r="T23" s="105">
        <f t="shared" ref="T23" si="12">T21+T22</f>
        <v>165000</v>
      </c>
      <c r="U23" s="106"/>
      <c r="V23" s="105">
        <f t="shared" ref="V23" si="13">V21+V22</f>
        <v>178748</v>
      </c>
      <c r="W23" s="106"/>
      <c r="X23" s="105">
        <f t="shared" ref="X23" si="14">X21+X22</f>
        <v>135000</v>
      </c>
      <c r="Y23" s="106"/>
      <c r="Z23" s="105">
        <f t="shared" ref="Z23" si="15">Z21+Z22</f>
        <v>130000</v>
      </c>
      <c r="AA23" s="106"/>
      <c r="AB23" s="107"/>
      <c r="AC23" s="108"/>
    </row>
    <row r="24" spans="1:29" ht="24.75" customHeight="1">
      <c r="A24" s="109" t="s">
        <v>33</v>
      </c>
      <c r="B24" s="113" t="s">
        <v>34</v>
      </c>
      <c r="C24" s="114"/>
      <c r="D24" s="115"/>
      <c r="E24" s="116"/>
      <c r="F24" s="115"/>
      <c r="G24" s="116"/>
      <c r="H24" s="115"/>
      <c r="I24" s="116"/>
      <c r="J24" s="115"/>
      <c r="K24" s="116"/>
      <c r="L24" s="115"/>
      <c r="M24" s="116"/>
      <c r="N24" s="115"/>
      <c r="O24" s="116"/>
      <c r="P24" s="115"/>
      <c r="Q24" s="116"/>
      <c r="R24" s="115"/>
      <c r="S24" s="116"/>
      <c r="T24" s="115">
        <v>0</v>
      </c>
      <c r="U24" s="116"/>
      <c r="V24" s="115">
        <v>0</v>
      </c>
      <c r="W24" s="116"/>
      <c r="X24" s="115">
        <v>0</v>
      </c>
      <c r="Y24" s="116"/>
      <c r="Z24" s="115">
        <v>0</v>
      </c>
      <c r="AA24" s="116"/>
      <c r="AB24" s="120"/>
      <c r="AC24" s="121"/>
    </row>
    <row r="25" spans="1:29" ht="24.75" customHeight="1">
      <c r="A25" s="110"/>
      <c r="B25" s="94" t="s">
        <v>35</v>
      </c>
      <c r="C25" s="95"/>
      <c r="D25" s="58"/>
      <c r="E25" s="59"/>
      <c r="F25" s="58"/>
      <c r="G25" s="59"/>
      <c r="H25" s="58"/>
      <c r="I25" s="59"/>
      <c r="J25" s="58"/>
      <c r="K25" s="59"/>
      <c r="L25" s="58"/>
      <c r="M25" s="59"/>
      <c r="N25" s="58"/>
      <c r="O25" s="59"/>
      <c r="P25" s="58"/>
      <c r="Q25" s="59"/>
      <c r="R25" s="58"/>
      <c r="S25" s="59"/>
      <c r="T25" s="58">
        <v>3200</v>
      </c>
      <c r="U25" s="59"/>
      <c r="V25" s="58">
        <v>4200</v>
      </c>
      <c r="W25" s="59"/>
      <c r="X25" s="58">
        <v>4200</v>
      </c>
      <c r="Y25" s="59"/>
      <c r="Z25" s="58">
        <v>4200</v>
      </c>
      <c r="AA25" s="59"/>
      <c r="AB25" s="78"/>
      <c r="AC25" s="79"/>
    </row>
    <row r="26" spans="1:29" ht="24.75" customHeight="1">
      <c r="A26" s="110"/>
      <c r="B26" s="94" t="s">
        <v>47</v>
      </c>
      <c r="C26" s="95"/>
      <c r="D26" s="58"/>
      <c r="E26" s="59"/>
      <c r="F26" s="58"/>
      <c r="G26" s="59"/>
      <c r="H26" s="58"/>
      <c r="I26" s="59"/>
      <c r="J26" s="58"/>
      <c r="K26" s="59"/>
      <c r="L26" s="58"/>
      <c r="M26" s="59"/>
      <c r="N26" s="58"/>
      <c r="O26" s="59"/>
      <c r="P26" s="58"/>
      <c r="Q26" s="59"/>
      <c r="R26" s="58"/>
      <c r="S26" s="59"/>
      <c r="T26" s="58">
        <v>0</v>
      </c>
      <c r="U26" s="59"/>
      <c r="V26" s="58">
        <v>0</v>
      </c>
      <c r="W26" s="59"/>
      <c r="X26" s="58">
        <v>0</v>
      </c>
      <c r="Y26" s="59"/>
      <c r="Z26" s="58">
        <v>0</v>
      </c>
      <c r="AA26" s="59"/>
      <c r="AB26" s="78"/>
      <c r="AC26" s="79"/>
    </row>
    <row r="27" spans="1:29" ht="24.75" customHeight="1">
      <c r="A27" s="111"/>
      <c r="B27" s="94" t="s">
        <v>48</v>
      </c>
      <c r="C27" s="95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  <c r="R27" s="58"/>
      <c r="S27" s="59"/>
      <c r="T27" s="58">
        <v>0</v>
      </c>
      <c r="U27" s="59"/>
      <c r="V27" s="58">
        <v>0</v>
      </c>
      <c r="W27" s="59"/>
      <c r="X27" s="58">
        <v>0</v>
      </c>
      <c r="Y27" s="59"/>
      <c r="Z27" s="58">
        <v>0</v>
      </c>
      <c r="AA27" s="59"/>
      <c r="AB27" s="96"/>
      <c r="AC27" s="97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/>
      <c r="M28" s="102"/>
      <c r="N28" s="101"/>
      <c r="O28" s="102"/>
      <c r="P28" s="101"/>
      <c r="Q28" s="102"/>
      <c r="R28" s="101"/>
      <c r="S28" s="102"/>
      <c r="T28" s="101">
        <v>0</v>
      </c>
      <c r="U28" s="102"/>
      <c r="V28" s="101">
        <v>0</v>
      </c>
      <c r="W28" s="102"/>
      <c r="X28" s="101">
        <v>0</v>
      </c>
      <c r="Y28" s="102"/>
      <c r="Z28" s="101">
        <v>0</v>
      </c>
      <c r="AA28" s="102"/>
      <c r="AB28" s="122"/>
      <c r="AC28" s="123"/>
    </row>
    <row r="29" spans="1:29" ht="24.75" customHeight="1" thickBot="1">
      <c r="A29" s="71" t="s">
        <v>36</v>
      </c>
      <c r="B29" s="72"/>
      <c r="C29" s="73"/>
      <c r="D29" s="83">
        <f>SUM(D24:D28)</f>
        <v>0</v>
      </c>
      <c r="E29" s="84"/>
      <c r="F29" s="83">
        <f t="shared" ref="F29" si="16">SUM(F24:F28)</f>
        <v>0</v>
      </c>
      <c r="G29" s="84"/>
      <c r="H29" s="83">
        <f t="shared" ref="H29" si="17">SUM(H24:H28)</f>
        <v>0</v>
      </c>
      <c r="I29" s="84"/>
      <c r="J29" s="83">
        <f t="shared" ref="J29" si="18">SUM(J24:J28)</f>
        <v>0</v>
      </c>
      <c r="K29" s="84"/>
      <c r="L29" s="83">
        <f t="shared" ref="L29" si="19">SUM(L24:L28)</f>
        <v>0</v>
      </c>
      <c r="M29" s="84"/>
      <c r="N29" s="83">
        <f t="shared" ref="N29" si="20">SUM(N24:N28)</f>
        <v>0</v>
      </c>
      <c r="O29" s="84"/>
      <c r="P29" s="83">
        <f t="shared" ref="P29" si="21">SUM(P24:P28)</f>
        <v>0</v>
      </c>
      <c r="Q29" s="84"/>
      <c r="R29" s="83">
        <v>0</v>
      </c>
      <c r="S29" s="84"/>
      <c r="T29" s="83">
        <f t="shared" ref="T29" si="22">SUM(T24:T28)</f>
        <v>3200</v>
      </c>
      <c r="U29" s="84"/>
      <c r="V29" s="83">
        <f t="shared" ref="V29" si="23">SUM(V24:V28)</f>
        <v>4200</v>
      </c>
      <c r="W29" s="84"/>
      <c r="X29" s="83">
        <f t="shared" ref="X29" si="24">SUM(X24:X28)</f>
        <v>4200</v>
      </c>
      <c r="Y29" s="84"/>
      <c r="Z29" s="83">
        <f t="shared" ref="Z29" si="25">SUM(Z24:Z28)</f>
        <v>4200</v>
      </c>
      <c r="AA29" s="131"/>
      <c r="AB29" s="96">
        <f t="shared" ref="AB29" si="26">SUM(AB24:AB28)</f>
        <v>0</v>
      </c>
      <c r="AC29" s="97"/>
    </row>
    <row r="30" spans="1:29" ht="24.75" customHeight="1" thickTop="1" thickBot="1">
      <c r="A30" s="132" t="s">
        <v>37</v>
      </c>
      <c r="B30" s="133"/>
      <c r="C30" s="134"/>
      <c r="D30" s="126">
        <f>D23-D29</f>
        <v>0</v>
      </c>
      <c r="E30" s="127"/>
      <c r="F30" s="126">
        <f>F23-F29</f>
        <v>0</v>
      </c>
      <c r="G30" s="127"/>
      <c r="H30" s="126">
        <f>H23-H29</f>
        <v>0</v>
      </c>
      <c r="I30" s="127"/>
      <c r="J30" s="126">
        <f>J23-J29</f>
        <v>0</v>
      </c>
      <c r="K30" s="127"/>
      <c r="L30" s="126">
        <f>L23-L29</f>
        <v>0</v>
      </c>
      <c r="M30" s="127"/>
      <c r="N30" s="126">
        <f>N23-N29</f>
        <v>0</v>
      </c>
      <c r="O30" s="127"/>
      <c r="P30" s="126">
        <f>P23-P29</f>
        <v>0</v>
      </c>
      <c r="Q30" s="127"/>
      <c r="R30" s="126">
        <f>R23-R29</f>
        <v>0</v>
      </c>
      <c r="S30" s="127"/>
      <c r="T30" s="126">
        <f>T23-T29</f>
        <v>161800</v>
      </c>
      <c r="U30" s="127"/>
      <c r="V30" s="126">
        <f>V23-V29</f>
        <v>174548</v>
      </c>
      <c r="W30" s="127"/>
      <c r="X30" s="126">
        <f>X21-X29</f>
        <v>130800</v>
      </c>
      <c r="Y30" s="127"/>
      <c r="Z30" s="126">
        <f>Z23-Z29</f>
        <v>125800</v>
      </c>
      <c r="AA30" s="128"/>
      <c r="AB30" s="129">
        <f>D30+F30+H30+J30+L30+N30</f>
        <v>0</v>
      </c>
      <c r="AC30" s="130"/>
    </row>
  </sheetData>
  <mergeCells count="308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64218-BB06-4FCF-A4A3-D6A4DEC19C2E}">
  <sheetPr>
    <tabColor theme="5"/>
  </sheetPr>
  <dimension ref="A1:AC30"/>
  <sheetViews>
    <sheetView topLeftCell="B10" workbookViewId="0">
      <selection activeCell="Z32" sqref="Z3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125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>
        <v>15</v>
      </c>
      <c r="U7" s="4" t="s">
        <v>21</v>
      </c>
      <c r="V7" s="3">
        <v>3</v>
      </c>
      <c r="W7" s="4" t="s">
        <v>21</v>
      </c>
      <c r="X7" s="3">
        <v>1</v>
      </c>
      <c r="Y7" s="4" t="s">
        <v>21</v>
      </c>
      <c r="Z7" s="3">
        <v>1</v>
      </c>
      <c r="AA7" s="4" t="s">
        <v>21</v>
      </c>
      <c r="AB7" s="24"/>
      <c r="AC7" s="9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>
        <v>4</v>
      </c>
      <c r="W8" s="4" t="s">
        <v>21</v>
      </c>
      <c r="X8" s="3">
        <v>5</v>
      </c>
      <c r="Y8" s="4" t="s">
        <v>21</v>
      </c>
      <c r="Z8" s="3">
        <v>2</v>
      </c>
      <c r="AA8" s="4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>
        <v>4</v>
      </c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5" t="s">
        <v>69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/>
      <c r="E11" s="75"/>
      <c r="F11" s="74"/>
      <c r="G11" s="75"/>
      <c r="H11" s="74"/>
      <c r="I11" s="75"/>
      <c r="J11" s="74"/>
      <c r="K11" s="75"/>
      <c r="L11" s="74"/>
      <c r="M11" s="75"/>
      <c r="N11" s="74"/>
      <c r="O11" s="75"/>
      <c r="P11" s="74"/>
      <c r="Q11" s="75"/>
      <c r="R11" s="74"/>
      <c r="S11" s="75"/>
      <c r="T11" s="74">
        <v>10000</v>
      </c>
      <c r="U11" s="75"/>
      <c r="V11" s="74">
        <v>10000</v>
      </c>
      <c r="W11" s="75"/>
      <c r="X11" s="74">
        <v>10000</v>
      </c>
      <c r="Y11" s="75"/>
      <c r="Z11" s="74">
        <v>10000</v>
      </c>
      <c r="AA11" s="75"/>
      <c r="AB11" s="76"/>
      <c r="AC11" s="77"/>
    </row>
    <row r="12" spans="1:29" ht="24.75" customHeight="1">
      <c r="A12" s="65" t="s">
        <v>49</v>
      </c>
      <c r="B12" s="66"/>
      <c r="C12" s="67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>
        <v>1562</v>
      </c>
      <c r="U12" s="59"/>
      <c r="V12" s="58">
        <v>1562</v>
      </c>
      <c r="W12" s="59"/>
      <c r="X12" s="58">
        <v>1562</v>
      </c>
      <c r="Y12" s="59"/>
      <c r="Z12" s="58">
        <v>1562</v>
      </c>
      <c r="AA12" s="59"/>
      <c r="AB12" s="78"/>
      <c r="AC12" s="79"/>
    </row>
    <row r="13" spans="1:29" ht="24.75" customHeight="1">
      <c r="A13" s="89" t="s">
        <v>27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>
        <v>12500</v>
      </c>
      <c r="U13" s="59"/>
      <c r="V13" s="58">
        <v>12500</v>
      </c>
      <c r="W13" s="59"/>
      <c r="X13" s="58">
        <v>12500</v>
      </c>
      <c r="Y13" s="59"/>
      <c r="Z13" s="58">
        <v>12500</v>
      </c>
      <c r="AA13" s="59"/>
      <c r="AB13" s="78"/>
      <c r="AC13" s="79"/>
    </row>
    <row r="14" spans="1:29" ht="24.75" customHeight="1" thickBot="1">
      <c r="A14" s="80" t="s">
        <v>50</v>
      </c>
      <c r="B14" s="81"/>
      <c r="C14" s="82"/>
      <c r="D14" s="83"/>
      <c r="E14" s="84"/>
      <c r="F14" s="83"/>
      <c r="G14" s="84"/>
      <c r="H14" s="83"/>
      <c r="I14" s="84"/>
      <c r="J14" s="83"/>
      <c r="K14" s="84"/>
      <c r="L14" s="83"/>
      <c r="M14" s="84"/>
      <c r="N14" s="83"/>
      <c r="O14" s="84"/>
      <c r="P14" s="83"/>
      <c r="Q14" s="84"/>
      <c r="R14" s="85"/>
      <c r="S14" s="86"/>
      <c r="T14" s="85">
        <v>1953</v>
      </c>
      <c r="U14" s="86"/>
      <c r="V14" s="85">
        <v>1953</v>
      </c>
      <c r="W14" s="86"/>
      <c r="X14" s="85">
        <v>1953</v>
      </c>
      <c r="Y14" s="86"/>
      <c r="Z14" s="85">
        <v>1953</v>
      </c>
      <c r="AA14" s="86"/>
      <c r="AB14" s="87"/>
      <c r="AC14" s="88"/>
    </row>
    <row r="15" spans="1:29" ht="24.75" customHeight="1" thickTop="1">
      <c r="A15" s="91" t="s">
        <v>42</v>
      </c>
      <c r="B15" s="28"/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96"/>
      <c r="AC15" s="97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78"/>
      <c r="AC16" s="79"/>
    </row>
    <row r="17" spans="1:29" ht="24.75" customHeight="1">
      <c r="A17" s="92"/>
      <c r="B17" s="16" t="s">
        <v>102</v>
      </c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>
        <v>0</v>
      </c>
      <c r="AA17" s="59"/>
      <c r="AB17" s="78"/>
      <c r="AC17" s="79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>
        <v>15000</v>
      </c>
      <c r="U18" s="59"/>
      <c r="V18" s="58">
        <v>10000</v>
      </c>
      <c r="W18" s="59"/>
      <c r="X18" s="58">
        <v>10000</v>
      </c>
      <c r="Y18" s="59"/>
      <c r="Z18" s="58">
        <v>5000</v>
      </c>
      <c r="AA18" s="59"/>
      <c r="AB18" s="78"/>
      <c r="AC18" s="79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78"/>
      <c r="AC19" s="79"/>
    </row>
    <row r="20" spans="1:29" ht="24.75" customHeight="1" thickBot="1">
      <c r="A20" s="93"/>
      <c r="B20" s="52" t="s">
        <v>30</v>
      </c>
      <c r="C20" s="48"/>
      <c r="D20" s="85"/>
      <c r="E20" s="86"/>
      <c r="F20" s="85"/>
      <c r="G20" s="86"/>
      <c r="H20" s="85"/>
      <c r="I20" s="86"/>
      <c r="J20" s="85"/>
      <c r="K20" s="86"/>
      <c r="L20" s="85"/>
      <c r="M20" s="86"/>
      <c r="N20" s="85"/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87"/>
      <c r="AC20" s="88"/>
    </row>
    <row r="21" spans="1:29" ht="24.75" customHeight="1" thickTop="1">
      <c r="A21" s="71" t="s">
        <v>31</v>
      </c>
      <c r="B21" s="72"/>
      <c r="C21" s="73"/>
      <c r="D21" s="74">
        <f>INT(D7*D11+D9*D12)</f>
        <v>0</v>
      </c>
      <c r="E21" s="75"/>
      <c r="F21" s="74">
        <f>INT(F7*F11+F9*F12+F17)</f>
        <v>0</v>
      </c>
      <c r="G21" s="75"/>
      <c r="H21" s="74">
        <f t="shared" ref="H21" si="0">INT(H7*H11+H8*H13+H10*H12+H15+H16+H17+H18+H19+H20)</f>
        <v>0</v>
      </c>
      <c r="I21" s="75"/>
      <c r="J21" s="74">
        <f>INT(J7*J11+J9*J12+J17)</f>
        <v>0</v>
      </c>
      <c r="K21" s="75"/>
      <c r="L21" s="74">
        <f t="shared" ref="L21" si="1">INT(L7*L11+L8*L13+L10*L12+L15+L16+L17+L18+L19+L20)</f>
        <v>0</v>
      </c>
      <c r="M21" s="75"/>
      <c r="N21" s="74">
        <f t="shared" ref="N21" si="2">INT(N7*N11+N8*N13+N10*N12+N15+N16+N17+N18+N19+N20)</f>
        <v>0</v>
      </c>
      <c r="O21" s="75"/>
      <c r="P21" s="74">
        <f t="shared" ref="P21" si="3">INT(P7*P11+P8*P13+P10*P12+P15+P16+P17+P18+P19+P20)</f>
        <v>0</v>
      </c>
      <c r="Q21" s="75"/>
      <c r="R21" s="74">
        <f>INT(R7*R11+R8*R13+R9*R12+R15+R16+R17+R18+R19+R20+R10*R14)</f>
        <v>0</v>
      </c>
      <c r="S21" s="75"/>
      <c r="T21" s="74">
        <f>INT(T7*T11+T8*T13+T9*T12+T15+T16+T17+T18+T19+T20)</f>
        <v>165000</v>
      </c>
      <c r="U21" s="75"/>
      <c r="V21" s="74">
        <f>INT(V7*V11+V8*V13+V9*V12+V15+V16+V17+V18+V19+V20)</f>
        <v>96248</v>
      </c>
      <c r="W21" s="75"/>
      <c r="X21" s="74">
        <f t="shared" ref="X21" si="4">INT(X7*X11+X8*X13+X10*X12+X15+X16+X17+X18+X19+X20)</f>
        <v>82500</v>
      </c>
      <c r="Y21" s="75"/>
      <c r="Z21" s="74">
        <f>INT(Z7*Z11+Z8*Z13+Z9*Z12+Z15+Z16+Z17+Z18+Z19+Z20)</f>
        <v>40000</v>
      </c>
      <c r="AA21" s="75"/>
      <c r="AB21" s="96"/>
      <c r="AC21" s="97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03"/>
      <c r="AC22" s="104"/>
    </row>
    <row r="23" spans="1:29" ht="24.75" customHeight="1" thickBot="1">
      <c r="A23" s="117" t="s">
        <v>20</v>
      </c>
      <c r="B23" s="118"/>
      <c r="C23" s="119"/>
      <c r="D23" s="105">
        <f>D21+D22</f>
        <v>0</v>
      </c>
      <c r="E23" s="106"/>
      <c r="F23" s="105">
        <f t="shared" ref="F23" si="5">F21+F22</f>
        <v>0</v>
      </c>
      <c r="G23" s="106"/>
      <c r="H23" s="105">
        <f t="shared" ref="H23" si="6">H21+H22</f>
        <v>0</v>
      </c>
      <c r="I23" s="106"/>
      <c r="J23" s="105">
        <f t="shared" ref="J23" si="7">J21+J22</f>
        <v>0</v>
      </c>
      <c r="K23" s="106"/>
      <c r="L23" s="105">
        <f t="shared" ref="L23" si="8">L21+L22</f>
        <v>0</v>
      </c>
      <c r="M23" s="106"/>
      <c r="N23" s="105">
        <f t="shared" ref="N23" si="9">N21+N22</f>
        <v>0</v>
      </c>
      <c r="O23" s="106"/>
      <c r="P23" s="105">
        <f t="shared" ref="P23" si="10">P21+P22</f>
        <v>0</v>
      </c>
      <c r="Q23" s="106"/>
      <c r="R23" s="105">
        <f t="shared" ref="R23" si="11">R21+R22</f>
        <v>0</v>
      </c>
      <c r="S23" s="106"/>
      <c r="T23" s="105">
        <f t="shared" ref="T23" si="12">T21+T22</f>
        <v>165000</v>
      </c>
      <c r="U23" s="106"/>
      <c r="V23" s="105">
        <f t="shared" ref="V23" si="13">V21+V22</f>
        <v>96248</v>
      </c>
      <c r="W23" s="106"/>
      <c r="X23" s="105">
        <f t="shared" ref="X23" si="14">X21+X22</f>
        <v>82500</v>
      </c>
      <c r="Y23" s="106"/>
      <c r="Z23" s="105">
        <f t="shared" ref="Z23" si="15">Z21+Z22</f>
        <v>40000</v>
      </c>
      <c r="AA23" s="106"/>
      <c r="AB23" s="107"/>
      <c r="AC23" s="108"/>
    </row>
    <row r="24" spans="1:29" ht="24.75" customHeight="1">
      <c r="A24" s="109" t="s">
        <v>33</v>
      </c>
      <c r="B24" s="113" t="s">
        <v>34</v>
      </c>
      <c r="C24" s="114"/>
      <c r="D24" s="115"/>
      <c r="E24" s="116"/>
      <c r="F24" s="115"/>
      <c r="G24" s="116"/>
      <c r="H24" s="115"/>
      <c r="I24" s="116"/>
      <c r="J24" s="115"/>
      <c r="K24" s="116"/>
      <c r="L24" s="115"/>
      <c r="M24" s="116"/>
      <c r="N24" s="115"/>
      <c r="O24" s="116"/>
      <c r="P24" s="115"/>
      <c r="Q24" s="116"/>
      <c r="R24" s="115">
        <v>0</v>
      </c>
      <c r="S24" s="116"/>
      <c r="T24" s="115">
        <v>0</v>
      </c>
      <c r="U24" s="116"/>
      <c r="V24" s="115">
        <v>0</v>
      </c>
      <c r="W24" s="116"/>
      <c r="X24" s="115">
        <v>0</v>
      </c>
      <c r="Y24" s="116"/>
      <c r="Z24" s="115">
        <v>0</v>
      </c>
      <c r="AA24" s="116"/>
      <c r="AB24" s="120"/>
      <c r="AC24" s="121"/>
    </row>
    <row r="25" spans="1:29" ht="24.75" customHeight="1">
      <c r="A25" s="110"/>
      <c r="B25" s="94" t="s">
        <v>35</v>
      </c>
      <c r="C25" s="95"/>
      <c r="D25" s="58"/>
      <c r="E25" s="59"/>
      <c r="F25" s="58"/>
      <c r="G25" s="59"/>
      <c r="H25" s="58"/>
      <c r="I25" s="59"/>
      <c r="J25" s="58"/>
      <c r="K25" s="59"/>
      <c r="L25" s="58"/>
      <c r="M25" s="59"/>
      <c r="N25" s="58"/>
      <c r="O25" s="59"/>
      <c r="P25" s="58"/>
      <c r="Q25" s="59"/>
      <c r="R25" s="58">
        <v>0</v>
      </c>
      <c r="S25" s="59"/>
      <c r="T25" s="58">
        <v>3200</v>
      </c>
      <c r="U25" s="59"/>
      <c r="V25" s="58">
        <v>0</v>
      </c>
      <c r="W25" s="59"/>
      <c r="X25" s="58">
        <v>0</v>
      </c>
      <c r="Y25" s="59"/>
      <c r="Z25" s="58">
        <v>0</v>
      </c>
      <c r="AA25" s="59"/>
      <c r="AB25" s="78"/>
      <c r="AC25" s="79"/>
    </row>
    <row r="26" spans="1:29" ht="24.75" customHeight="1">
      <c r="A26" s="110"/>
      <c r="B26" s="94" t="s">
        <v>47</v>
      </c>
      <c r="C26" s="95"/>
      <c r="D26" s="58"/>
      <c r="E26" s="59"/>
      <c r="F26" s="58"/>
      <c r="G26" s="59"/>
      <c r="H26" s="58"/>
      <c r="I26" s="59"/>
      <c r="J26" s="58"/>
      <c r="K26" s="59"/>
      <c r="L26" s="58"/>
      <c r="M26" s="59"/>
      <c r="N26" s="58"/>
      <c r="O26" s="59"/>
      <c r="P26" s="58"/>
      <c r="Q26" s="59"/>
      <c r="R26" s="58">
        <v>0</v>
      </c>
      <c r="S26" s="59"/>
      <c r="T26" s="58">
        <v>0</v>
      </c>
      <c r="U26" s="59"/>
      <c r="V26" s="58">
        <v>0</v>
      </c>
      <c r="W26" s="59"/>
      <c r="X26" s="58">
        <v>0</v>
      </c>
      <c r="Y26" s="59"/>
      <c r="Z26" s="58">
        <v>0</v>
      </c>
      <c r="AA26" s="59"/>
      <c r="AB26" s="78"/>
      <c r="AC26" s="79"/>
    </row>
    <row r="27" spans="1:29" ht="24.75" customHeight="1">
      <c r="A27" s="111"/>
      <c r="B27" s="94" t="s">
        <v>48</v>
      </c>
      <c r="C27" s="95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  <c r="R27" s="58">
        <v>0</v>
      </c>
      <c r="S27" s="59"/>
      <c r="T27" s="58">
        <v>0</v>
      </c>
      <c r="U27" s="59"/>
      <c r="V27" s="58">
        <v>0</v>
      </c>
      <c r="W27" s="59"/>
      <c r="X27" s="58">
        <v>0</v>
      </c>
      <c r="Y27" s="59"/>
      <c r="Z27" s="58">
        <v>0</v>
      </c>
      <c r="AA27" s="59"/>
      <c r="AB27" s="96"/>
      <c r="AC27" s="97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/>
      <c r="M28" s="102"/>
      <c r="N28" s="101"/>
      <c r="O28" s="102"/>
      <c r="P28" s="101"/>
      <c r="Q28" s="102"/>
      <c r="R28" s="101">
        <v>0</v>
      </c>
      <c r="S28" s="102"/>
      <c r="T28" s="101">
        <v>0</v>
      </c>
      <c r="U28" s="102"/>
      <c r="V28" s="101">
        <v>0</v>
      </c>
      <c r="W28" s="102"/>
      <c r="X28" s="101">
        <v>0</v>
      </c>
      <c r="Y28" s="102"/>
      <c r="Z28" s="101">
        <v>0</v>
      </c>
      <c r="AA28" s="102"/>
      <c r="AB28" s="122"/>
      <c r="AC28" s="123"/>
    </row>
    <row r="29" spans="1:29" ht="24.75" customHeight="1" thickBot="1">
      <c r="A29" s="71" t="s">
        <v>36</v>
      </c>
      <c r="B29" s="72"/>
      <c r="C29" s="73"/>
      <c r="D29" s="83">
        <f>SUM(D24:D28)</f>
        <v>0</v>
      </c>
      <c r="E29" s="84"/>
      <c r="F29" s="83">
        <f t="shared" ref="F29" si="16">SUM(F24:F28)</f>
        <v>0</v>
      </c>
      <c r="G29" s="84"/>
      <c r="H29" s="83">
        <f t="shared" ref="H29" si="17">SUM(H24:H28)</f>
        <v>0</v>
      </c>
      <c r="I29" s="84"/>
      <c r="J29" s="83">
        <f t="shared" ref="J29" si="18">SUM(J24:J28)</f>
        <v>0</v>
      </c>
      <c r="K29" s="84"/>
      <c r="L29" s="83">
        <f t="shared" ref="L29" si="19">SUM(L24:L28)</f>
        <v>0</v>
      </c>
      <c r="M29" s="84"/>
      <c r="N29" s="83">
        <f t="shared" ref="N29" si="20">SUM(N24:N28)</f>
        <v>0</v>
      </c>
      <c r="O29" s="84"/>
      <c r="P29" s="83">
        <f t="shared" ref="P29" si="21">SUM(P24:P28)</f>
        <v>0</v>
      </c>
      <c r="Q29" s="84"/>
      <c r="R29" s="83">
        <f t="shared" ref="R29" si="22">SUM(R24:R28)</f>
        <v>0</v>
      </c>
      <c r="S29" s="84"/>
      <c r="T29" s="83">
        <f t="shared" ref="T29" si="23">SUM(T24:T28)</f>
        <v>3200</v>
      </c>
      <c r="U29" s="84"/>
      <c r="V29" s="83">
        <f t="shared" ref="V29" si="24">SUM(V24:V28)</f>
        <v>0</v>
      </c>
      <c r="W29" s="84"/>
      <c r="X29" s="83">
        <f t="shared" ref="X29" si="25">SUM(X24:X28)</f>
        <v>0</v>
      </c>
      <c r="Y29" s="84"/>
      <c r="Z29" s="83">
        <f t="shared" ref="Z29" si="26">SUM(Z24:Z28)</f>
        <v>0</v>
      </c>
      <c r="AA29" s="131"/>
      <c r="AB29" s="96">
        <f t="shared" ref="AB29" si="27">SUM(AB24:AB28)</f>
        <v>0</v>
      </c>
      <c r="AC29" s="97"/>
    </row>
    <row r="30" spans="1:29" ht="24.75" customHeight="1" thickTop="1" thickBot="1">
      <c r="A30" s="132" t="s">
        <v>37</v>
      </c>
      <c r="B30" s="133"/>
      <c r="C30" s="134"/>
      <c r="D30" s="126">
        <f>D23-D29</f>
        <v>0</v>
      </c>
      <c r="E30" s="127"/>
      <c r="F30" s="126">
        <f>F23-F29</f>
        <v>0</v>
      </c>
      <c r="G30" s="127"/>
      <c r="H30" s="126">
        <f>H23-H29</f>
        <v>0</v>
      </c>
      <c r="I30" s="127"/>
      <c r="J30" s="126">
        <f>J23-J29</f>
        <v>0</v>
      </c>
      <c r="K30" s="127"/>
      <c r="L30" s="126">
        <f>L23-L29</f>
        <v>0</v>
      </c>
      <c r="M30" s="127"/>
      <c r="N30" s="126">
        <f>N23-N29</f>
        <v>0</v>
      </c>
      <c r="O30" s="127"/>
      <c r="P30" s="126">
        <f>P23-P29</f>
        <v>0</v>
      </c>
      <c r="Q30" s="127"/>
      <c r="R30" s="126">
        <f>R23-R29</f>
        <v>0</v>
      </c>
      <c r="S30" s="127"/>
      <c r="T30" s="126">
        <f>T23-T29</f>
        <v>161800</v>
      </c>
      <c r="U30" s="127"/>
      <c r="V30" s="126">
        <f>V23-V29</f>
        <v>96248</v>
      </c>
      <c r="W30" s="127"/>
      <c r="X30" s="126">
        <f>X21-X29</f>
        <v>82500</v>
      </c>
      <c r="Y30" s="127"/>
      <c r="Z30" s="126">
        <f>Z23-Z29</f>
        <v>40000</v>
      </c>
      <c r="AA30" s="128"/>
      <c r="AB30" s="129">
        <f>D30+F30+H30+J30+L30+N30</f>
        <v>0</v>
      </c>
      <c r="AC30" s="130"/>
    </row>
  </sheetData>
  <mergeCells count="308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36219-1618-4A85-B210-1206482EB9D1}">
  <dimension ref="A1:AC30"/>
  <sheetViews>
    <sheetView topLeftCell="A4" workbookViewId="0">
      <selection activeCell="S5" sqref="S5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124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23" t="s">
        <v>22</v>
      </c>
      <c r="AB9" s="24"/>
      <c r="AC9" s="9" t="s">
        <v>22</v>
      </c>
    </row>
    <row r="10" spans="1:29" ht="24.75" customHeight="1" thickBot="1">
      <c r="A10" s="65" t="s">
        <v>69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23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/>
      <c r="E11" s="75"/>
      <c r="F11" s="74"/>
      <c r="G11" s="75"/>
      <c r="H11" s="74"/>
      <c r="I11" s="75"/>
      <c r="J11" s="74"/>
      <c r="K11" s="75"/>
      <c r="L11" s="74"/>
      <c r="M11" s="75"/>
      <c r="N11" s="74"/>
      <c r="O11" s="75"/>
      <c r="P11" s="74">
        <v>300000</v>
      </c>
      <c r="Q11" s="75"/>
      <c r="R11" s="74">
        <v>300000</v>
      </c>
      <c r="S11" s="75"/>
      <c r="T11" s="74">
        <v>300000</v>
      </c>
      <c r="U11" s="75"/>
      <c r="V11" s="74">
        <v>300000</v>
      </c>
      <c r="W11" s="75"/>
      <c r="X11" s="74">
        <v>300000</v>
      </c>
      <c r="Y11" s="75"/>
      <c r="Z11" s="74">
        <v>300000</v>
      </c>
      <c r="AA11" s="75"/>
      <c r="AB11" s="135"/>
      <c r="AC11" s="136"/>
    </row>
    <row r="12" spans="1:29" ht="24.75" customHeight="1">
      <c r="A12" s="65" t="s">
        <v>49</v>
      </c>
      <c r="B12" s="66"/>
      <c r="C12" s="67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137"/>
      <c r="AC12" s="138"/>
    </row>
    <row r="13" spans="1:29" ht="24.75" customHeight="1">
      <c r="A13" s="89" t="s">
        <v>27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59"/>
      <c r="AB13" s="137"/>
      <c r="AC13" s="138"/>
    </row>
    <row r="14" spans="1:29" ht="24.75" customHeight="1" thickBot="1">
      <c r="A14" s="80" t="s">
        <v>50</v>
      </c>
      <c r="B14" s="81"/>
      <c r="C14" s="82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139"/>
      <c r="AC14" s="140"/>
    </row>
    <row r="15" spans="1:29" ht="24.75" customHeight="1" thickTop="1">
      <c r="A15" s="92" t="s">
        <v>42</v>
      </c>
      <c r="B15" s="17"/>
      <c r="C15" s="6" t="s">
        <v>43</v>
      </c>
      <c r="D15" s="83"/>
      <c r="E15" s="84"/>
      <c r="F15" s="83"/>
      <c r="G15" s="84"/>
      <c r="H15" s="83"/>
      <c r="I15" s="84"/>
      <c r="J15" s="83"/>
      <c r="K15" s="84"/>
      <c r="L15" s="83"/>
      <c r="M15" s="84"/>
      <c r="N15" s="83"/>
      <c r="O15" s="84"/>
      <c r="P15" s="83"/>
      <c r="Q15" s="84"/>
      <c r="R15" s="83"/>
      <c r="S15" s="84"/>
      <c r="T15" s="83"/>
      <c r="U15" s="84"/>
      <c r="V15" s="83"/>
      <c r="W15" s="84"/>
      <c r="X15" s="83"/>
      <c r="Y15" s="84"/>
      <c r="Z15" s="83"/>
      <c r="AA15" s="84"/>
      <c r="AB15" s="141"/>
      <c r="AC15" s="142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37"/>
      <c r="AC16" s="138"/>
    </row>
    <row r="17" spans="1:29" ht="24.75" customHeight="1">
      <c r="A17" s="92"/>
      <c r="B17" s="16"/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37"/>
      <c r="AC17" s="138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>
        <v>50000</v>
      </c>
      <c r="Q18" s="59"/>
      <c r="R18" s="58">
        <v>50000</v>
      </c>
      <c r="S18" s="59"/>
      <c r="T18" s="58">
        <v>50000</v>
      </c>
      <c r="U18" s="59"/>
      <c r="V18" s="58">
        <v>50000</v>
      </c>
      <c r="W18" s="59"/>
      <c r="X18" s="58">
        <v>50000</v>
      </c>
      <c r="Y18" s="59"/>
      <c r="Z18" s="58">
        <v>50000</v>
      </c>
      <c r="AA18" s="59"/>
      <c r="AB18" s="137"/>
      <c r="AC18" s="138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37"/>
      <c r="AC19" s="138"/>
    </row>
    <row r="20" spans="1:29" ht="24.75" customHeight="1">
      <c r="A20" s="110"/>
      <c r="B20" s="94" t="s">
        <v>30</v>
      </c>
      <c r="C20" s="95"/>
      <c r="D20" s="58"/>
      <c r="E20" s="59"/>
      <c r="F20" s="58"/>
      <c r="G20" s="59"/>
      <c r="H20" s="58"/>
      <c r="I20" s="59"/>
      <c r="J20" s="58"/>
      <c r="K20" s="59"/>
      <c r="L20" s="58"/>
      <c r="M20" s="59"/>
      <c r="N20" s="58"/>
      <c r="O20" s="59"/>
      <c r="P20" s="58"/>
      <c r="Q20" s="59"/>
      <c r="R20" s="58"/>
      <c r="S20" s="59"/>
      <c r="T20" s="58"/>
      <c r="U20" s="59"/>
      <c r="V20" s="58"/>
      <c r="W20" s="59"/>
      <c r="X20" s="58"/>
      <c r="Y20" s="59"/>
      <c r="Z20" s="58"/>
      <c r="AA20" s="59"/>
      <c r="AB20" s="137"/>
      <c r="AC20" s="138"/>
    </row>
    <row r="21" spans="1:29" ht="24.75" customHeight="1">
      <c r="A21" s="65" t="s">
        <v>31</v>
      </c>
      <c r="B21" s="66"/>
      <c r="C21" s="67"/>
      <c r="D21" s="58">
        <f>SUM(D11:D20)</f>
        <v>0</v>
      </c>
      <c r="E21" s="59"/>
      <c r="F21" s="58">
        <f t="shared" ref="F21:Z21" si="0">SUM(F11:F20)</f>
        <v>0</v>
      </c>
      <c r="G21" s="59"/>
      <c r="H21" s="58">
        <f t="shared" si="0"/>
        <v>0</v>
      </c>
      <c r="I21" s="59"/>
      <c r="J21" s="58">
        <f t="shared" si="0"/>
        <v>0</v>
      </c>
      <c r="K21" s="59"/>
      <c r="L21" s="58">
        <f t="shared" si="0"/>
        <v>0</v>
      </c>
      <c r="M21" s="59"/>
      <c r="N21" s="58"/>
      <c r="O21" s="59"/>
      <c r="P21" s="58">
        <f t="shared" si="0"/>
        <v>350000</v>
      </c>
      <c r="Q21" s="59"/>
      <c r="R21" s="58">
        <f t="shared" si="0"/>
        <v>350000</v>
      </c>
      <c r="S21" s="59"/>
      <c r="T21" s="58">
        <f t="shared" si="0"/>
        <v>350000</v>
      </c>
      <c r="U21" s="59"/>
      <c r="V21" s="58">
        <f t="shared" si="0"/>
        <v>350000</v>
      </c>
      <c r="W21" s="59"/>
      <c r="X21" s="58">
        <f t="shared" si="0"/>
        <v>350000</v>
      </c>
      <c r="Y21" s="59"/>
      <c r="Z21" s="58">
        <f t="shared" si="0"/>
        <v>350000</v>
      </c>
      <c r="AA21" s="59"/>
      <c r="AB21" s="137">
        <f>D21+F21+H21+J21+L21+N21+P21+R21+T21+V21+X21+Z21</f>
        <v>2100000</v>
      </c>
      <c r="AC21" s="138"/>
    </row>
    <row r="22" spans="1:29" ht="24.75" customHeight="1" thickBot="1">
      <c r="A22" s="98" t="s">
        <v>39</v>
      </c>
      <c r="B22" s="99"/>
      <c r="C22" s="100"/>
      <c r="D22" s="143"/>
      <c r="E22" s="144"/>
      <c r="F22" s="143"/>
      <c r="G22" s="144"/>
      <c r="H22" s="143"/>
      <c r="I22" s="144"/>
      <c r="J22" s="143"/>
      <c r="K22" s="144"/>
      <c r="L22" s="143"/>
      <c r="M22" s="144"/>
      <c r="N22" s="143"/>
      <c r="O22" s="144"/>
      <c r="P22" s="143"/>
      <c r="Q22" s="144"/>
      <c r="R22" s="143"/>
      <c r="S22" s="144"/>
      <c r="T22" s="143"/>
      <c r="U22" s="144"/>
      <c r="V22" s="143"/>
      <c r="W22" s="144"/>
      <c r="X22" s="143"/>
      <c r="Y22" s="144"/>
      <c r="Z22" s="143"/>
      <c r="AA22" s="144"/>
      <c r="AB22" s="145"/>
      <c r="AC22" s="146"/>
    </row>
    <row r="23" spans="1:29" ht="24.75" customHeight="1" thickBot="1">
      <c r="A23" s="117" t="s">
        <v>20</v>
      </c>
      <c r="B23" s="118"/>
      <c r="C23" s="119"/>
      <c r="D23" s="105">
        <f>D21+D22</f>
        <v>0</v>
      </c>
      <c r="E23" s="106"/>
      <c r="F23" s="105">
        <f>F21+F22</f>
        <v>0</v>
      </c>
      <c r="G23" s="106"/>
      <c r="H23" s="105">
        <f t="shared" ref="H23" si="1">H21+H22</f>
        <v>0</v>
      </c>
      <c r="I23" s="106"/>
      <c r="J23" s="105">
        <f t="shared" ref="J23" si="2">J21+J22</f>
        <v>0</v>
      </c>
      <c r="K23" s="106"/>
      <c r="L23" s="105">
        <f t="shared" ref="L23" si="3">L21+L22</f>
        <v>0</v>
      </c>
      <c r="M23" s="106"/>
      <c r="N23" s="105">
        <f t="shared" ref="N23" si="4">N21+N22</f>
        <v>0</v>
      </c>
      <c r="O23" s="106"/>
      <c r="P23" s="105">
        <f t="shared" ref="P23" si="5">P21+P22</f>
        <v>350000</v>
      </c>
      <c r="Q23" s="106"/>
      <c r="R23" s="105">
        <f t="shared" ref="R23" si="6">R21+R22</f>
        <v>350000</v>
      </c>
      <c r="S23" s="106"/>
      <c r="T23" s="105">
        <f t="shared" ref="T23" si="7">T21+T22</f>
        <v>350000</v>
      </c>
      <c r="U23" s="106"/>
      <c r="V23" s="105">
        <f t="shared" ref="V23" si="8">V21+V22</f>
        <v>350000</v>
      </c>
      <c r="W23" s="106"/>
      <c r="X23" s="105">
        <f t="shared" ref="X23" si="9">X21+X22</f>
        <v>350000</v>
      </c>
      <c r="Y23" s="106"/>
      <c r="Z23" s="105">
        <f t="shared" ref="Z23" si="10">Z21+Z22</f>
        <v>350000</v>
      </c>
      <c r="AA23" s="106"/>
      <c r="AB23" s="147">
        <f>D23+F23+H23+J23+L23+N23+P23+R23+T23+V23+X23+Z23</f>
        <v>2100000</v>
      </c>
      <c r="AC23" s="148"/>
    </row>
    <row r="24" spans="1:29" ht="24.75" customHeight="1">
      <c r="A24" s="109" t="s">
        <v>33</v>
      </c>
      <c r="B24" s="113" t="s">
        <v>34</v>
      </c>
      <c r="C24" s="114"/>
      <c r="D24" s="115">
        <v>0</v>
      </c>
      <c r="E24" s="116"/>
      <c r="F24" s="115">
        <v>0</v>
      </c>
      <c r="G24" s="116"/>
      <c r="H24" s="115">
        <v>0</v>
      </c>
      <c r="I24" s="116"/>
      <c r="J24" s="115">
        <v>0</v>
      </c>
      <c r="K24" s="116"/>
      <c r="L24" s="115">
        <v>0</v>
      </c>
      <c r="M24" s="116"/>
      <c r="N24" s="115">
        <v>0</v>
      </c>
      <c r="O24" s="116"/>
      <c r="P24" s="115">
        <v>0</v>
      </c>
      <c r="Q24" s="116"/>
      <c r="R24" s="115">
        <v>0</v>
      </c>
      <c r="S24" s="116"/>
      <c r="T24" s="115">
        <v>0</v>
      </c>
      <c r="U24" s="116"/>
      <c r="V24" s="115">
        <v>0</v>
      </c>
      <c r="W24" s="116"/>
      <c r="X24" s="115">
        <v>0</v>
      </c>
      <c r="Y24" s="116"/>
      <c r="Z24" s="115">
        <v>0</v>
      </c>
      <c r="AA24" s="116"/>
      <c r="AB24" s="150"/>
      <c r="AC24" s="151"/>
    </row>
    <row r="25" spans="1:29" ht="24.75" customHeight="1">
      <c r="A25" s="110"/>
      <c r="B25" s="94" t="s">
        <v>35</v>
      </c>
      <c r="C25" s="95"/>
      <c r="D25" s="58"/>
      <c r="E25" s="59"/>
      <c r="F25" s="58"/>
      <c r="G25" s="59"/>
      <c r="H25" s="58"/>
      <c r="I25" s="59"/>
      <c r="J25" s="58"/>
      <c r="K25" s="59"/>
      <c r="L25" s="58"/>
      <c r="M25" s="59"/>
      <c r="N25" s="58"/>
      <c r="O25" s="59"/>
      <c r="P25" s="58">
        <v>8420</v>
      </c>
      <c r="Q25" s="59"/>
      <c r="R25" s="58">
        <v>8420</v>
      </c>
      <c r="S25" s="59"/>
      <c r="T25" s="58">
        <v>8420</v>
      </c>
      <c r="U25" s="59"/>
      <c r="V25" s="58">
        <v>8420</v>
      </c>
      <c r="W25" s="59"/>
      <c r="X25" s="58">
        <v>8420</v>
      </c>
      <c r="Y25" s="59"/>
      <c r="Z25" s="58">
        <v>8420</v>
      </c>
      <c r="AA25" s="59"/>
      <c r="AB25" s="137"/>
      <c r="AC25" s="138"/>
    </row>
    <row r="26" spans="1:29" ht="24.75" customHeight="1">
      <c r="A26" s="110"/>
      <c r="B26" s="94" t="s">
        <v>47</v>
      </c>
      <c r="C26" s="95"/>
      <c r="D26" s="58"/>
      <c r="E26" s="59"/>
      <c r="F26" s="58"/>
      <c r="G26" s="59"/>
      <c r="H26" s="58"/>
      <c r="I26" s="59"/>
      <c r="J26" s="58"/>
      <c r="K26" s="59"/>
      <c r="L26" s="58"/>
      <c r="M26" s="59"/>
      <c r="N26" s="58"/>
      <c r="O26" s="59"/>
      <c r="P26" s="58"/>
      <c r="Q26" s="59"/>
      <c r="R26" s="58"/>
      <c r="S26" s="59"/>
      <c r="T26" s="58"/>
      <c r="U26" s="59"/>
      <c r="V26" s="58"/>
      <c r="W26" s="59"/>
      <c r="X26" s="58"/>
      <c r="Y26" s="59"/>
      <c r="Z26" s="58"/>
      <c r="AA26" s="149"/>
      <c r="AB26" s="137"/>
      <c r="AC26" s="138"/>
    </row>
    <row r="27" spans="1:29" ht="24.75" customHeight="1">
      <c r="A27" s="111"/>
      <c r="B27" s="94" t="s">
        <v>48</v>
      </c>
      <c r="C27" s="95"/>
      <c r="D27" s="58"/>
      <c r="E27" s="59"/>
      <c r="F27" s="58"/>
      <c r="G27" s="59"/>
      <c r="H27" s="58"/>
      <c r="I27" s="59"/>
      <c r="J27" s="58"/>
      <c r="K27" s="59"/>
      <c r="L27" s="58"/>
      <c r="M27" s="59"/>
      <c r="N27" s="58"/>
      <c r="O27" s="59"/>
      <c r="P27" s="58"/>
      <c r="Q27" s="59"/>
      <c r="R27" s="58"/>
      <c r="S27" s="59"/>
      <c r="T27" s="58"/>
      <c r="U27" s="59"/>
      <c r="V27" s="58"/>
      <c r="W27" s="59"/>
      <c r="X27" s="58"/>
      <c r="Y27" s="59"/>
      <c r="Z27" s="58"/>
      <c r="AA27" s="59"/>
      <c r="AB27" s="141"/>
      <c r="AC27" s="142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/>
      <c r="M28" s="102"/>
      <c r="N28" s="101"/>
      <c r="O28" s="102"/>
      <c r="P28" s="101"/>
      <c r="Q28" s="102"/>
      <c r="R28" s="101"/>
      <c r="S28" s="102"/>
      <c r="T28" s="101"/>
      <c r="U28" s="102"/>
      <c r="V28" s="101"/>
      <c r="W28" s="102"/>
      <c r="X28" s="101"/>
      <c r="Y28" s="102"/>
      <c r="Z28" s="101"/>
      <c r="AA28" s="154"/>
      <c r="AB28" s="152"/>
      <c r="AC28" s="153"/>
    </row>
    <row r="29" spans="1:29" ht="24.75" customHeight="1" thickBot="1">
      <c r="A29" s="71" t="s">
        <v>36</v>
      </c>
      <c r="B29" s="72"/>
      <c r="C29" s="73"/>
      <c r="D29" s="83">
        <f>SUM(D24:D28)</f>
        <v>0</v>
      </c>
      <c r="E29" s="84"/>
      <c r="F29" s="83">
        <f t="shared" ref="F29" si="11">SUM(F24:F28)</f>
        <v>0</v>
      </c>
      <c r="G29" s="84"/>
      <c r="H29" s="83">
        <f t="shared" ref="H29" si="12">SUM(H24:H28)</f>
        <v>0</v>
      </c>
      <c r="I29" s="84"/>
      <c r="J29" s="83">
        <f t="shared" ref="J29" si="13">SUM(J24:J28)</f>
        <v>0</v>
      </c>
      <c r="K29" s="84"/>
      <c r="L29" s="83">
        <f t="shared" ref="L29" si="14">SUM(L24:L28)</f>
        <v>0</v>
      </c>
      <c r="M29" s="84"/>
      <c r="N29" s="83">
        <f t="shared" ref="N29" si="15">SUM(N24:N28)</f>
        <v>0</v>
      </c>
      <c r="O29" s="84"/>
      <c r="P29" s="83">
        <f t="shared" ref="P29" si="16">SUM(P24:P28)</f>
        <v>8420</v>
      </c>
      <c r="Q29" s="84"/>
      <c r="R29" s="83">
        <f t="shared" ref="R29" si="17">SUM(R24:R28)</f>
        <v>8420</v>
      </c>
      <c r="S29" s="84"/>
      <c r="T29" s="83">
        <f t="shared" ref="T29" si="18">SUM(T24:T28)</f>
        <v>8420</v>
      </c>
      <c r="U29" s="84"/>
      <c r="V29" s="83">
        <f t="shared" ref="V29" si="19">SUM(V24:V28)</f>
        <v>8420</v>
      </c>
      <c r="W29" s="84"/>
      <c r="X29" s="83">
        <f t="shared" ref="X29" si="20">SUM(X24:X28)</f>
        <v>8420</v>
      </c>
      <c r="Y29" s="84"/>
      <c r="Z29" s="83">
        <f t="shared" ref="Z29" si="21">SUM(Z24:Z28)</f>
        <v>8420</v>
      </c>
      <c r="AA29" s="131"/>
      <c r="AB29" s="141">
        <f t="shared" ref="AB29" si="22">SUM(AB24:AB28)</f>
        <v>0</v>
      </c>
      <c r="AC29" s="142"/>
    </row>
    <row r="30" spans="1:29" ht="24.75" customHeight="1" thickTop="1" thickBot="1">
      <c r="A30" s="132" t="s">
        <v>37</v>
      </c>
      <c r="B30" s="133"/>
      <c r="C30" s="134"/>
      <c r="D30" s="126">
        <f>D23-D29</f>
        <v>0</v>
      </c>
      <c r="E30" s="127"/>
      <c r="F30" s="126">
        <f>F23-F29</f>
        <v>0</v>
      </c>
      <c r="G30" s="127"/>
      <c r="H30" s="126">
        <f>H23-H29</f>
        <v>0</v>
      </c>
      <c r="I30" s="127"/>
      <c r="J30" s="126">
        <f>J23-J29</f>
        <v>0</v>
      </c>
      <c r="K30" s="127"/>
      <c r="L30" s="126">
        <f>L23-L29</f>
        <v>0</v>
      </c>
      <c r="M30" s="127"/>
      <c r="N30" s="126">
        <f>N23-N29</f>
        <v>0</v>
      </c>
      <c r="O30" s="127"/>
      <c r="P30" s="126">
        <f>P23-P29</f>
        <v>341580</v>
      </c>
      <c r="Q30" s="127"/>
      <c r="R30" s="126">
        <f>R23-R29</f>
        <v>341580</v>
      </c>
      <c r="S30" s="127"/>
      <c r="T30" s="126">
        <f>T23-T29</f>
        <v>341580</v>
      </c>
      <c r="U30" s="127"/>
      <c r="V30" s="126">
        <f>V23-V29</f>
        <v>341580</v>
      </c>
      <c r="W30" s="127"/>
      <c r="X30" s="126">
        <f>X21-X29</f>
        <v>341580</v>
      </c>
      <c r="Y30" s="127"/>
      <c r="Z30" s="126">
        <f>Z23-Z29</f>
        <v>341580</v>
      </c>
      <c r="AA30" s="128"/>
      <c r="AB30" s="155">
        <f>D30+F30+H30+J30+L30+N30</f>
        <v>0</v>
      </c>
      <c r="AC30" s="156"/>
    </row>
  </sheetData>
  <mergeCells count="308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B9E3E-7F8C-4053-A96E-0E45BB192D67}">
  <sheetPr>
    <tabColor theme="7"/>
  </sheetPr>
  <dimension ref="A1:AN33"/>
  <sheetViews>
    <sheetView topLeftCell="A19"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4" width="5.625" style="1"/>
    <col min="5" max="5" width="5.375" style="1" customWidth="1"/>
    <col min="6" max="6" width="5.625" style="1"/>
    <col min="7" max="7" width="5.25" style="1" customWidth="1"/>
    <col min="8" max="8" width="5.625" style="1"/>
    <col min="9" max="9" width="5.125" style="1" customWidth="1"/>
    <col min="10" max="13" width="5.625" style="1"/>
    <col min="14" max="14" width="6.75" style="1" bestFit="1" customWidth="1"/>
    <col min="15" max="17" width="5.625" style="1"/>
    <col min="18" max="18" width="6.625" style="1" bestFit="1" customWidth="1"/>
    <col min="19" max="19" width="5" style="1" customWidth="1"/>
    <col min="20" max="30" width="5.625" style="1"/>
    <col min="31" max="31" width="11.25" style="1" bestFit="1" customWidth="1"/>
    <col min="32" max="38" width="5.625" style="1"/>
    <col min="39" max="39" width="9.875" style="1" bestFit="1" customWidth="1"/>
    <col min="40" max="16384" width="5.625" style="1"/>
  </cols>
  <sheetData>
    <row r="1" spans="1:40">
      <c r="A1" s="37" t="s">
        <v>132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40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40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40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53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40" ht="5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40" ht="24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2" t="s">
        <v>11</v>
      </c>
      <c r="AA6" s="62"/>
      <c r="AB6" s="63" t="s">
        <v>20</v>
      </c>
      <c r="AC6" s="64"/>
    </row>
    <row r="7" spans="1:40" ht="24" customHeight="1">
      <c r="A7" s="65" t="s">
        <v>40</v>
      </c>
      <c r="B7" s="66"/>
      <c r="C7" s="67"/>
      <c r="D7" s="3">
        <v>7</v>
      </c>
      <c r="E7" s="4" t="s">
        <v>21</v>
      </c>
      <c r="F7" s="3">
        <v>18</v>
      </c>
      <c r="G7" s="4" t="s">
        <v>21</v>
      </c>
      <c r="H7" s="3">
        <v>16</v>
      </c>
      <c r="I7" s="4" t="s">
        <v>21</v>
      </c>
      <c r="J7" s="3">
        <v>22</v>
      </c>
      <c r="K7" s="4" t="s">
        <v>21</v>
      </c>
      <c r="L7" s="3">
        <v>11</v>
      </c>
      <c r="M7" s="4" t="s">
        <v>21</v>
      </c>
      <c r="N7" s="3">
        <v>11</v>
      </c>
      <c r="O7" s="4" t="s">
        <v>21</v>
      </c>
      <c r="P7" s="3">
        <v>18</v>
      </c>
      <c r="Q7" s="4" t="s">
        <v>21</v>
      </c>
      <c r="R7" s="3">
        <v>15</v>
      </c>
      <c r="S7" s="4" t="s">
        <v>21</v>
      </c>
      <c r="T7" s="3">
        <v>17</v>
      </c>
      <c r="U7" s="4" t="s">
        <v>21</v>
      </c>
      <c r="V7" s="3">
        <v>21</v>
      </c>
      <c r="W7" s="4" t="s">
        <v>21</v>
      </c>
      <c r="X7" s="3">
        <v>21</v>
      </c>
      <c r="Y7" s="4" t="s">
        <v>21</v>
      </c>
      <c r="Z7" s="32">
        <v>17</v>
      </c>
      <c r="AA7" s="4" t="s">
        <v>21</v>
      </c>
      <c r="AB7" s="24"/>
      <c r="AC7" s="9" t="s">
        <v>21</v>
      </c>
    </row>
    <row r="8" spans="1:40" ht="24" customHeight="1">
      <c r="A8" s="65" t="s">
        <v>41</v>
      </c>
      <c r="B8" s="66"/>
      <c r="C8" s="67"/>
      <c r="D8" s="3">
        <v>6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>
        <v>1</v>
      </c>
      <c r="M8" s="4" t="s">
        <v>21</v>
      </c>
      <c r="N8" s="3"/>
      <c r="O8" s="4" t="s">
        <v>21</v>
      </c>
      <c r="P8" s="3">
        <v>1</v>
      </c>
      <c r="Q8" s="4" t="s">
        <v>21</v>
      </c>
      <c r="R8" s="3">
        <v>3</v>
      </c>
      <c r="S8" s="4" t="s">
        <v>21</v>
      </c>
      <c r="T8" s="3">
        <v>4</v>
      </c>
      <c r="U8" s="4" t="s">
        <v>21</v>
      </c>
      <c r="V8" s="3">
        <v>3</v>
      </c>
      <c r="W8" s="4" t="s">
        <v>21</v>
      </c>
      <c r="X8" s="3">
        <v>1</v>
      </c>
      <c r="Y8" s="4" t="s">
        <v>21</v>
      </c>
      <c r="Z8" s="32"/>
      <c r="AA8" s="4" t="s">
        <v>21</v>
      </c>
      <c r="AB8" s="24"/>
      <c r="AC8" s="9" t="s">
        <v>22</v>
      </c>
    </row>
    <row r="9" spans="1:40" ht="24" customHeight="1">
      <c r="A9" s="65" t="s">
        <v>100</v>
      </c>
      <c r="B9" s="66"/>
      <c r="C9" s="67"/>
      <c r="D9" s="3">
        <v>15</v>
      </c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6</v>
      </c>
      <c r="S9" s="4" t="s">
        <v>22</v>
      </c>
      <c r="T9" s="3">
        <v>12</v>
      </c>
      <c r="U9" s="4" t="s">
        <v>22</v>
      </c>
      <c r="V9" s="3">
        <v>7</v>
      </c>
      <c r="W9" s="4" t="s">
        <v>22</v>
      </c>
      <c r="X9" s="3">
        <v>1</v>
      </c>
      <c r="Y9" s="4" t="s">
        <v>22</v>
      </c>
      <c r="Z9" s="32"/>
      <c r="AA9" s="4" t="s">
        <v>22</v>
      </c>
      <c r="AB9" s="24"/>
      <c r="AC9" s="9" t="s">
        <v>22</v>
      </c>
      <c r="AF9" s="158" t="s">
        <v>120</v>
      </c>
      <c r="AG9" s="158"/>
      <c r="AH9" s="158"/>
      <c r="AJ9" s="158" t="s">
        <v>121</v>
      </c>
      <c r="AK9" s="158"/>
      <c r="AL9" s="158"/>
      <c r="AM9" s="1" t="s">
        <v>122</v>
      </c>
    </row>
    <row r="10" spans="1:40" ht="24" customHeight="1" thickBot="1">
      <c r="A10" s="80" t="s">
        <v>99</v>
      </c>
      <c r="B10" s="81"/>
      <c r="C10" s="82"/>
      <c r="D10" s="3">
        <v>9</v>
      </c>
      <c r="E10" s="4" t="s">
        <v>22</v>
      </c>
      <c r="F10" s="3">
        <v>3.5</v>
      </c>
      <c r="G10" s="4" t="s">
        <v>22</v>
      </c>
      <c r="H10" s="3"/>
      <c r="I10" s="4" t="s">
        <v>22</v>
      </c>
      <c r="J10" s="3">
        <v>5</v>
      </c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15</v>
      </c>
      <c r="S10" s="4" t="s">
        <v>22</v>
      </c>
      <c r="T10" s="3">
        <v>25</v>
      </c>
      <c r="U10" s="4" t="s">
        <v>22</v>
      </c>
      <c r="V10" s="3">
        <v>21</v>
      </c>
      <c r="W10" s="4" t="s">
        <v>22</v>
      </c>
      <c r="X10" s="3">
        <v>21</v>
      </c>
      <c r="Y10" s="4" t="s">
        <v>22</v>
      </c>
      <c r="Z10" s="32">
        <v>16</v>
      </c>
      <c r="AA10" s="4" t="s">
        <v>22</v>
      </c>
      <c r="AB10" s="24"/>
      <c r="AC10" s="9" t="s">
        <v>22</v>
      </c>
      <c r="AE10" s="36" t="s">
        <v>119</v>
      </c>
      <c r="AF10" s="157">
        <v>65020</v>
      </c>
      <c r="AG10" s="157"/>
      <c r="AH10" s="157"/>
      <c r="AJ10" s="157">
        <f>4340+5560+1500+4530+3340+3550+1250+4890+3480+5030+1850+1480+2050+6000+4500+3200+3000+5130+340</f>
        <v>65020</v>
      </c>
      <c r="AK10" s="157"/>
      <c r="AL10" s="157"/>
      <c r="AM10" s="33">
        <f t="shared" ref="AM10:AM21" si="0">AF10-AJ10</f>
        <v>0</v>
      </c>
    </row>
    <row r="11" spans="1:40" ht="24" customHeight="1" thickTop="1">
      <c r="A11" s="71" t="s">
        <v>26</v>
      </c>
      <c r="B11" s="72"/>
      <c r="C11" s="73"/>
      <c r="D11" s="74">
        <v>8000</v>
      </c>
      <c r="E11" s="75"/>
      <c r="F11" s="74">
        <v>8000</v>
      </c>
      <c r="G11" s="75"/>
      <c r="H11" s="74">
        <v>8000</v>
      </c>
      <c r="I11" s="75"/>
      <c r="J11" s="74">
        <v>8000</v>
      </c>
      <c r="K11" s="75"/>
      <c r="L11" s="74">
        <v>8000</v>
      </c>
      <c r="M11" s="75"/>
      <c r="N11" s="74">
        <v>8000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159">
        <v>8000</v>
      </c>
      <c r="AA11" s="75"/>
      <c r="AB11" s="76"/>
      <c r="AC11" s="77"/>
      <c r="AE11" s="36" t="s">
        <v>13</v>
      </c>
      <c r="AF11" s="157">
        <v>46510</v>
      </c>
      <c r="AG11" s="157"/>
      <c r="AH11" s="157"/>
      <c r="AJ11" s="157">
        <f>5120+4980+1200+1230+1230+2050+1000+1240+1950+2150+2050+2350+830+6000+4500+3200+3450+1440+540</f>
        <v>46510</v>
      </c>
      <c r="AK11" s="157"/>
      <c r="AL11" s="157"/>
      <c r="AM11" s="33">
        <f t="shared" si="0"/>
        <v>0</v>
      </c>
    </row>
    <row r="12" spans="1:40" ht="24" customHeight="1">
      <c r="A12" s="65" t="s">
        <v>49</v>
      </c>
      <c r="B12" s="66"/>
      <c r="C12" s="67"/>
      <c r="D12" s="58">
        <v>1250</v>
      </c>
      <c r="E12" s="59"/>
      <c r="F12" s="58">
        <v>1250</v>
      </c>
      <c r="G12" s="59"/>
      <c r="H12" s="58">
        <v>1250</v>
      </c>
      <c r="I12" s="59"/>
      <c r="J12" s="58">
        <v>1250</v>
      </c>
      <c r="K12" s="59"/>
      <c r="L12" s="58">
        <v>1250</v>
      </c>
      <c r="M12" s="59"/>
      <c r="N12" s="58">
        <v>1250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149">
        <v>1250</v>
      </c>
      <c r="AA12" s="59"/>
      <c r="AB12" s="78"/>
      <c r="AC12" s="79"/>
      <c r="AE12" s="36" t="s">
        <v>14</v>
      </c>
      <c r="AF12" s="157">
        <v>44100</v>
      </c>
      <c r="AG12" s="157"/>
      <c r="AH12" s="157"/>
      <c r="AJ12" s="157">
        <f>3550+3620+1240+1340+1640+0+2260+5890+1850+3270+6000+4500+3200+3000+2740+0</f>
        <v>44100</v>
      </c>
      <c r="AK12" s="157"/>
      <c r="AL12" s="157"/>
      <c r="AM12" s="33">
        <f t="shared" si="0"/>
        <v>0</v>
      </c>
    </row>
    <row r="13" spans="1:40" ht="24" customHeight="1">
      <c r="A13" s="89" t="s">
        <v>98</v>
      </c>
      <c r="B13" s="90"/>
      <c r="C13" s="66"/>
      <c r="D13" s="58">
        <v>10000</v>
      </c>
      <c r="E13" s="59"/>
      <c r="F13" s="58">
        <v>10000</v>
      </c>
      <c r="G13" s="59"/>
      <c r="H13" s="58">
        <v>10000</v>
      </c>
      <c r="I13" s="59"/>
      <c r="J13" s="58">
        <v>10000</v>
      </c>
      <c r="K13" s="59"/>
      <c r="L13" s="58">
        <v>10000</v>
      </c>
      <c r="M13" s="59"/>
      <c r="N13" s="58">
        <v>10000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79"/>
      <c r="AB13" s="78"/>
      <c r="AC13" s="79"/>
      <c r="AE13" s="36" t="s">
        <v>15</v>
      </c>
      <c r="AF13" s="157">
        <v>60400</v>
      </c>
      <c r="AG13" s="157"/>
      <c r="AH13" s="157"/>
      <c r="AJ13" s="157">
        <f>6210+3550+3270+4050+2740+4120+3550+6210+3200+2460+6000+4500+3000+3200+4050+290</f>
        <v>60400</v>
      </c>
      <c r="AK13" s="157"/>
      <c r="AL13" s="157"/>
      <c r="AM13" s="33">
        <f t="shared" si="0"/>
        <v>0</v>
      </c>
    </row>
    <row r="14" spans="1:40" ht="24" customHeight="1" thickBot="1">
      <c r="A14" s="160" t="s">
        <v>50</v>
      </c>
      <c r="B14" s="161"/>
      <c r="C14" s="162"/>
      <c r="D14" s="163">
        <v>1562</v>
      </c>
      <c r="E14" s="164"/>
      <c r="F14" s="163">
        <v>1562</v>
      </c>
      <c r="G14" s="164"/>
      <c r="H14" s="163">
        <v>1562</v>
      </c>
      <c r="I14" s="164"/>
      <c r="J14" s="163">
        <v>1562</v>
      </c>
      <c r="K14" s="164"/>
      <c r="L14" s="163">
        <v>1562</v>
      </c>
      <c r="M14" s="164"/>
      <c r="N14" s="163">
        <v>1562</v>
      </c>
      <c r="O14" s="164"/>
      <c r="P14" s="163">
        <v>1562</v>
      </c>
      <c r="Q14" s="164"/>
      <c r="R14" s="163">
        <v>1562</v>
      </c>
      <c r="S14" s="164"/>
      <c r="T14" s="163">
        <v>1562</v>
      </c>
      <c r="U14" s="164"/>
      <c r="V14" s="163">
        <v>1562</v>
      </c>
      <c r="W14" s="164"/>
      <c r="X14" s="163">
        <v>1562</v>
      </c>
      <c r="Y14" s="164"/>
      <c r="Z14" s="165">
        <v>1562</v>
      </c>
      <c r="AA14" s="164"/>
      <c r="AB14" s="166"/>
      <c r="AC14" s="167"/>
      <c r="AE14" s="36" t="s">
        <v>16</v>
      </c>
      <c r="AF14" s="157">
        <v>79790</v>
      </c>
      <c r="AG14" s="157"/>
      <c r="AH14" s="157"/>
      <c r="AJ14" s="157">
        <f>3270+3910+2680+3200+0+680+530+4210+6000+4500+3000+3200+5890+230</f>
        <v>41300</v>
      </c>
      <c r="AK14" s="157"/>
      <c r="AL14" s="157"/>
      <c r="AM14" s="33">
        <f t="shared" si="0"/>
        <v>38490</v>
      </c>
      <c r="AN14" s="1" t="s">
        <v>123</v>
      </c>
    </row>
    <row r="15" spans="1:40" ht="24" customHeight="1" thickTop="1">
      <c r="A15" s="91" t="s">
        <v>42</v>
      </c>
      <c r="B15" s="20" t="s">
        <v>54</v>
      </c>
      <c r="C15" s="22" t="s">
        <v>43</v>
      </c>
      <c r="D15" s="74">
        <v>20194</v>
      </c>
      <c r="E15" s="75"/>
      <c r="F15" s="74">
        <v>30000</v>
      </c>
      <c r="G15" s="75"/>
      <c r="H15" s="74">
        <v>14250</v>
      </c>
      <c r="I15" s="75"/>
      <c r="J15" s="74">
        <f>2500*13</f>
        <v>32500</v>
      </c>
      <c r="K15" s="75"/>
      <c r="L15" s="74">
        <v>22500</v>
      </c>
      <c r="M15" s="75"/>
      <c r="N15" s="74">
        <f>2500*6</f>
        <v>15000</v>
      </c>
      <c r="O15" s="75"/>
      <c r="P15" s="74">
        <f>2500*16</f>
        <v>40000</v>
      </c>
      <c r="Q15" s="75"/>
      <c r="R15" s="74">
        <v>25000</v>
      </c>
      <c r="S15" s="75"/>
      <c r="T15" s="74">
        <v>30000</v>
      </c>
      <c r="U15" s="75"/>
      <c r="V15" s="74">
        <v>50000</v>
      </c>
      <c r="W15" s="75"/>
      <c r="X15" s="74">
        <v>50000</v>
      </c>
      <c r="Y15" s="75"/>
      <c r="Z15" s="159">
        <v>40000</v>
      </c>
      <c r="AA15" s="75"/>
      <c r="AB15" s="135"/>
      <c r="AC15" s="136"/>
      <c r="AE15" s="36" t="s">
        <v>17</v>
      </c>
      <c r="AF15" s="157">
        <v>44410</v>
      </c>
      <c r="AG15" s="157"/>
      <c r="AH15" s="157"/>
      <c r="AJ15" s="157">
        <f>2050+3350+2250+2860+2550+1030+5200+1850+9000+8000+2920+3350</f>
        <v>44410</v>
      </c>
      <c r="AK15" s="157"/>
      <c r="AL15" s="157"/>
      <c r="AM15" s="33">
        <f t="shared" si="0"/>
        <v>0</v>
      </c>
    </row>
    <row r="16" spans="1:40" ht="24" customHeight="1">
      <c r="A16" s="92"/>
      <c r="B16" s="18" t="s">
        <v>102</v>
      </c>
      <c r="C16" s="19" t="s">
        <v>44</v>
      </c>
      <c r="D16" s="58">
        <v>14065</v>
      </c>
      <c r="E16" s="59"/>
      <c r="F16" s="58">
        <v>14837</v>
      </c>
      <c r="G16" s="59"/>
      <c r="H16" s="58">
        <v>12800</v>
      </c>
      <c r="I16" s="59"/>
      <c r="J16" s="58">
        <v>18225</v>
      </c>
      <c r="K16" s="59"/>
      <c r="L16" s="58">
        <v>8800</v>
      </c>
      <c r="M16" s="59"/>
      <c r="N16" s="58">
        <v>8800</v>
      </c>
      <c r="O16" s="59"/>
      <c r="P16" s="58">
        <v>15200</v>
      </c>
      <c r="Q16" s="59"/>
      <c r="R16" s="58">
        <v>15000</v>
      </c>
      <c r="S16" s="59"/>
      <c r="T16" s="58">
        <v>27600</v>
      </c>
      <c r="U16" s="59"/>
      <c r="V16" s="58">
        <v>24800</v>
      </c>
      <c r="W16" s="59"/>
      <c r="X16" s="58">
        <v>22800</v>
      </c>
      <c r="Y16" s="59"/>
      <c r="Z16" s="149">
        <v>13600</v>
      </c>
      <c r="AA16" s="59"/>
      <c r="AB16" s="137"/>
      <c r="AC16" s="138"/>
      <c r="AE16" s="36" t="s">
        <v>18</v>
      </c>
      <c r="AF16" s="157">
        <v>73740</v>
      </c>
      <c r="AG16" s="157"/>
      <c r="AH16" s="157"/>
      <c r="AJ16" s="157">
        <f>5410+4910+4200+4780+2980+1300+5990+3910+3700+6000+8000+3100+4340+3700+8420+3000</f>
        <v>73740</v>
      </c>
      <c r="AK16" s="157"/>
      <c r="AL16" s="157"/>
      <c r="AM16" s="33">
        <f t="shared" si="0"/>
        <v>0</v>
      </c>
    </row>
    <row r="17" spans="1:39" ht="24" customHeight="1">
      <c r="A17" s="92"/>
      <c r="B17" s="21"/>
      <c r="C17" s="19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149"/>
      <c r="AA17" s="79"/>
      <c r="AB17" s="137"/>
      <c r="AC17" s="138"/>
      <c r="AE17" s="36" t="s">
        <v>19</v>
      </c>
      <c r="AF17" s="157">
        <v>91460</v>
      </c>
      <c r="AG17" s="157"/>
      <c r="AH17" s="157"/>
      <c r="AJ17" s="157">
        <f>5780+8420+6420+4720+4770+2860+5050+4910+2980+7580+1850+350+5320+6000+8000+2920+5050+2800+2680+3000</f>
        <v>91460</v>
      </c>
      <c r="AK17" s="157"/>
      <c r="AL17" s="157"/>
      <c r="AM17" s="33">
        <f t="shared" si="0"/>
        <v>0</v>
      </c>
    </row>
    <row r="18" spans="1:39" ht="24" customHeight="1">
      <c r="A18" s="92"/>
      <c r="B18" s="94" t="s">
        <v>28</v>
      </c>
      <c r="C18" s="95"/>
      <c r="D18" s="58">
        <v>1620</v>
      </c>
      <c r="E18" s="59"/>
      <c r="F18" s="58">
        <v>5000</v>
      </c>
      <c r="G18" s="59"/>
      <c r="H18" s="58">
        <v>3592</v>
      </c>
      <c r="I18" s="59"/>
      <c r="J18" s="58">
        <v>5437</v>
      </c>
      <c r="K18" s="59"/>
      <c r="L18" s="58">
        <v>3000</v>
      </c>
      <c r="M18" s="59"/>
      <c r="N18" s="58">
        <v>3000</v>
      </c>
      <c r="O18" s="59"/>
      <c r="P18" s="58">
        <v>4032</v>
      </c>
      <c r="Q18" s="59"/>
      <c r="R18" s="58">
        <v>3832</v>
      </c>
      <c r="S18" s="59"/>
      <c r="T18" s="58">
        <v>8176</v>
      </c>
      <c r="U18" s="59"/>
      <c r="V18" s="58">
        <v>6080</v>
      </c>
      <c r="W18" s="59"/>
      <c r="X18" s="58">
        <v>11968</v>
      </c>
      <c r="Y18" s="59"/>
      <c r="Z18" s="149">
        <v>4496</v>
      </c>
      <c r="AA18" s="59"/>
      <c r="AB18" s="137"/>
      <c r="AC18" s="138"/>
      <c r="AE18" s="36" t="s">
        <v>8</v>
      </c>
      <c r="AF18" s="157">
        <v>100950</v>
      </c>
      <c r="AG18" s="157"/>
      <c r="AH18" s="157"/>
      <c r="AJ18" s="157">
        <f>10140+8420+5410+3980+6000+4700+3200+4980+1930+11360+3550+4270+6000+8000+2920+5990+2050+1650+3200+3200</f>
        <v>100950</v>
      </c>
      <c r="AK18" s="157"/>
      <c r="AL18" s="157"/>
      <c r="AM18" s="33">
        <f t="shared" si="0"/>
        <v>0</v>
      </c>
    </row>
    <row r="19" spans="1:39" ht="24" customHeight="1">
      <c r="A19" s="92"/>
      <c r="B19" s="94" t="s">
        <v>29</v>
      </c>
      <c r="C19" s="95"/>
      <c r="D19" s="58"/>
      <c r="E19" s="59"/>
      <c r="F19" s="58"/>
      <c r="G19" s="59"/>
      <c r="H19" s="58">
        <v>900</v>
      </c>
      <c r="I19" s="59"/>
      <c r="J19" s="58"/>
      <c r="K19" s="59"/>
      <c r="L19" s="58"/>
      <c r="M19" s="59"/>
      <c r="N19" s="58"/>
      <c r="O19" s="59"/>
      <c r="P19" s="58"/>
      <c r="Q19" s="59"/>
      <c r="R19" s="58">
        <v>750</v>
      </c>
      <c r="S19" s="59"/>
      <c r="T19" s="58"/>
      <c r="U19" s="59"/>
      <c r="V19" s="58"/>
      <c r="W19" s="59"/>
      <c r="X19" s="58"/>
      <c r="Y19" s="59"/>
      <c r="Z19" s="149"/>
      <c r="AA19" s="59"/>
      <c r="AB19" s="137"/>
      <c r="AC19" s="138"/>
      <c r="AE19" s="36" t="s">
        <v>9</v>
      </c>
      <c r="AF19" s="157">
        <v>91560</v>
      </c>
      <c r="AG19" s="157"/>
      <c r="AH19" s="157"/>
      <c r="AJ19" s="157">
        <f>10000+5410+5780+2800+3840+3700+2290+7200+4200+4270+6000+9000+3000+3100+4500+2000+1850+4200+8420</f>
        <v>91560</v>
      </c>
      <c r="AK19" s="157"/>
      <c r="AL19" s="157"/>
      <c r="AM19" s="33">
        <f t="shared" si="0"/>
        <v>0</v>
      </c>
    </row>
    <row r="20" spans="1:39" ht="24" customHeight="1" thickBot="1">
      <c r="A20" s="93"/>
      <c r="B20" s="52" t="s">
        <v>30</v>
      </c>
      <c r="C20" s="48"/>
      <c r="D20" s="85"/>
      <c r="E20" s="86"/>
      <c r="F20" s="85"/>
      <c r="G20" s="86"/>
      <c r="H20" s="85"/>
      <c r="I20" s="86"/>
      <c r="J20" s="85"/>
      <c r="K20" s="86"/>
      <c r="L20" s="85"/>
      <c r="M20" s="86"/>
      <c r="N20" s="85"/>
      <c r="O20" s="86"/>
      <c r="P20" s="85">
        <v>1500</v>
      </c>
      <c r="Q20" s="86"/>
      <c r="R20" s="85"/>
      <c r="S20" s="86"/>
      <c r="T20" s="85"/>
      <c r="U20" s="86"/>
      <c r="V20" s="85"/>
      <c r="W20" s="86"/>
      <c r="X20" s="85"/>
      <c r="Y20" s="86"/>
      <c r="Z20" s="168"/>
      <c r="AA20" s="86"/>
      <c r="AB20" s="139"/>
      <c r="AC20" s="140"/>
      <c r="AE20" s="36" t="s">
        <v>10</v>
      </c>
      <c r="AF20" s="157">
        <v>96690</v>
      </c>
      <c r="AG20" s="157"/>
      <c r="AH20" s="157"/>
      <c r="AJ20" s="157">
        <f>10000+5130+4910+4120+4910+2610+4410+430+7920+4120+180+4050+6000+9000+3000+3100+4770+2610+2800+4200+8420</f>
        <v>96690</v>
      </c>
      <c r="AK20" s="157"/>
      <c r="AL20" s="157"/>
      <c r="AM20" s="33">
        <f t="shared" si="0"/>
        <v>0</v>
      </c>
    </row>
    <row r="21" spans="1:39" ht="24" customHeight="1" thickTop="1">
      <c r="A21" s="71" t="s">
        <v>31</v>
      </c>
      <c r="B21" s="72"/>
      <c r="C21" s="73"/>
      <c r="D21" s="74">
        <f>D7*D11+D8*D13+D9*D14+D10*D12+D15+D18+D16</f>
        <v>186559</v>
      </c>
      <c r="E21" s="75"/>
      <c r="F21" s="74">
        <f>INT(F7*F11+F9*F12+F18+F20+F8*F13+F10*F12+F15+F16)</f>
        <v>198212</v>
      </c>
      <c r="G21" s="75"/>
      <c r="H21" s="74">
        <f>INT(H7*H11+H8*H13+H10*H12+H15+H16+H17+H18+H19+H20)</f>
        <v>159542</v>
      </c>
      <c r="I21" s="75"/>
      <c r="J21" s="74">
        <f>INT(J7*J11+J9*J12+J18+J20+J15+J10*J12+J16)</f>
        <v>238412</v>
      </c>
      <c r="K21" s="75"/>
      <c r="L21" s="74">
        <f>INT(L7*L11+L8*L13+L10*L12+L15+L16+L17+L18+L19+L20)</f>
        <v>132300</v>
      </c>
      <c r="M21" s="75"/>
      <c r="N21" s="74">
        <f>INT(N7*N11+N8*N13+N10*N12+N15+N16+N17+N18+N19+N20)</f>
        <v>114800</v>
      </c>
      <c r="O21" s="75"/>
      <c r="P21" s="74">
        <f>INT(P7*P11+P8*P13+P10*P12+P15+P16+P17+P18+P19+P20)</f>
        <v>214732</v>
      </c>
      <c r="Q21" s="75"/>
      <c r="R21" s="74">
        <f>INT(R7*R11+R8*R13+R10*R12+R15+R16+R17+R18+R19+R20+R9*R14)</f>
        <v>222704</v>
      </c>
      <c r="S21" s="75"/>
      <c r="T21" s="74">
        <f>INT(T7*T11+T8*T13+T10*T12+T15+T16+T17+T18+T19+T20+T9*T14)</f>
        <v>291770</v>
      </c>
      <c r="U21" s="75"/>
      <c r="V21" s="74">
        <f>INT(V7*V11+V8*V13+V10*V12+V15+V16+V17+V18+V19+V20+V9*V14)</f>
        <v>316064</v>
      </c>
      <c r="W21" s="75"/>
      <c r="X21" s="74">
        <f>INT(X7*X11+X8*X13+X10*X12+X15+X16+X17+X18+X19+X20+X9*X14)</f>
        <v>290580</v>
      </c>
      <c r="Y21" s="75"/>
      <c r="Z21" s="159">
        <f>INT(Z7*Z11+Z8*Z13+Z10*Z12+Z15+Z16+Z17+Z18+Z19+Z20)</f>
        <v>214096</v>
      </c>
      <c r="AA21" s="75"/>
      <c r="AB21" s="141"/>
      <c r="AC21" s="142"/>
      <c r="AE21" s="36" t="s">
        <v>11</v>
      </c>
      <c r="AF21" s="157">
        <v>77580</v>
      </c>
      <c r="AG21" s="157"/>
      <c r="AH21" s="157"/>
      <c r="AJ21" s="157">
        <f>6850+3270+1850+3910+4340+2860+5410+130+5990+2050+6000+9000+3000+3200+3200+2050+1850+4200+8420</f>
        <v>77580</v>
      </c>
      <c r="AK21" s="157"/>
      <c r="AL21" s="157"/>
      <c r="AM21" s="33">
        <f t="shared" si="0"/>
        <v>0</v>
      </c>
    </row>
    <row r="22" spans="1:39" ht="24" customHeight="1" thickBot="1">
      <c r="A22" s="169" t="s">
        <v>39</v>
      </c>
      <c r="B22" s="170"/>
      <c r="C22" s="171"/>
      <c r="D22" s="101"/>
      <c r="E22" s="102"/>
      <c r="F22" s="101"/>
      <c r="G22" s="102"/>
      <c r="H22" s="101"/>
      <c r="I22" s="102"/>
      <c r="J22" s="101"/>
      <c r="K22" s="102"/>
      <c r="L22" s="101">
        <v>30000</v>
      </c>
      <c r="M22" s="102"/>
      <c r="N22" s="101"/>
      <c r="O22" s="102"/>
      <c r="P22" s="101"/>
      <c r="Q22" s="102"/>
      <c r="R22" s="101"/>
      <c r="S22" s="102"/>
      <c r="T22" s="101">
        <v>30000</v>
      </c>
      <c r="U22" s="102"/>
      <c r="V22" s="101"/>
      <c r="W22" s="102"/>
      <c r="X22" s="101"/>
      <c r="Y22" s="102"/>
      <c r="Z22" s="154"/>
      <c r="AA22" s="123"/>
      <c r="AB22" s="152"/>
      <c r="AC22" s="153"/>
      <c r="AE22" s="33"/>
    </row>
    <row r="23" spans="1:39" ht="24" customHeight="1" thickBot="1">
      <c r="A23" s="117" t="s">
        <v>20</v>
      </c>
      <c r="B23" s="118"/>
      <c r="C23" s="119"/>
      <c r="D23" s="105">
        <f>D21</f>
        <v>186559</v>
      </c>
      <c r="E23" s="106"/>
      <c r="F23" s="105">
        <f>F21+F22</f>
        <v>198212</v>
      </c>
      <c r="G23" s="106"/>
      <c r="H23" s="105">
        <f>H21+H22</f>
        <v>159542</v>
      </c>
      <c r="I23" s="106"/>
      <c r="J23" s="105">
        <f>J21+J22</f>
        <v>238412</v>
      </c>
      <c r="K23" s="106"/>
      <c r="L23" s="105">
        <f>L21+L22</f>
        <v>162300</v>
      </c>
      <c r="M23" s="106"/>
      <c r="N23" s="105">
        <f>N21+N22</f>
        <v>114800</v>
      </c>
      <c r="O23" s="106"/>
      <c r="P23" s="105">
        <f>P21+P22</f>
        <v>214732</v>
      </c>
      <c r="Q23" s="106"/>
      <c r="R23" s="105">
        <f>R21+R22</f>
        <v>222704</v>
      </c>
      <c r="S23" s="106"/>
      <c r="T23" s="105">
        <f>T21+T22</f>
        <v>321770</v>
      </c>
      <c r="U23" s="106"/>
      <c r="V23" s="105">
        <f>V21+V22</f>
        <v>316064</v>
      </c>
      <c r="W23" s="106"/>
      <c r="X23" s="105">
        <f>X21+X22</f>
        <v>290580</v>
      </c>
      <c r="Y23" s="106"/>
      <c r="Z23" s="173">
        <f>Z21+Z22</f>
        <v>214096</v>
      </c>
      <c r="AA23" s="106"/>
      <c r="AB23" s="147"/>
      <c r="AC23" s="148"/>
      <c r="AE23" s="33"/>
    </row>
    <row r="24" spans="1:39" ht="24" customHeight="1">
      <c r="A24" s="109" t="s">
        <v>33</v>
      </c>
      <c r="B24" s="113" t="s">
        <v>34</v>
      </c>
      <c r="C24" s="114"/>
      <c r="D24" s="115">
        <f>530</f>
        <v>530</v>
      </c>
      <c r="E24" s="116"/>
      <c r="F24" s="115">
        <v>595</v>
      </c>
      <c r="G24" s="116"/>
      <c r="H24" s="115">
        <v>479</v>
      </c>
      <c r="I24" s="116"/>
      <c r="J24" s="115">
        <f t="shared" ref="J24" si="1">J23*0.003</f>
        <v>715.23599999999999</v>
      </c>
      <c r="K24" s="116"/>
      <c r="L24" s="115">
        <f t="shared" ref="L24" si="2">L23*0.003</f>
        <v>486.90000000000003</v>
      </c>
      <c r="M24" s="116"/>
      <c r="N24" s="115">
        <f t="shared" ref="N24" si="3">N23*0.003</f>
        <v>344.40000000000003</v>
      </c>
      <c r="O24" s="116"/>
      <c r="P24" s="115">
        <f t="shared" ref="P24" si="4">P23*0.003</f>
        <v>644.19600000000003</v>
      </c>
      <c r="Q24" s="116"/>
      <c r="R24" s="115">
        <f t="shared" ref="R24" si="5">R23*0.003</f>
        <v>668.11199999999997</v>
      </c>
      <c r="S24" s="116"/>
      <c r="T24" s="115">
        <f t="shared" ref="T24" si="6">T23*0.003</f>
        <v>965.31000000000006</v>
      </c>
      <c r="U24" s="116"/>
      <c r="V24" s="115">
        <f t="shared" ref="V24" si="7">V23*0.003</f>
        <v>948.19200000000001</v>
      </c>
      <c r="W24" s="116"/>
      <c r="X24" s="115">
        <f t="shared" ref="X24:Z24" si="8">X23*0.003</f>
        <v>871.74</v>
      </c>
      <c r="Y24" s="116"/>
      <c r="Z24" s="172">
        <f t="shared" si="8"/>
        <v>642.28800000000001</v>
      </c>
      <c r="AA24" s="116"/>
      <c r="AB24" s="150"/>
      <c r="AC24" s="151"/>
      <c r="AE24" s="33"/>
    </row>
    <row r="25" spans="1:39" ht="24" customHeight="1">
      <c r="A25" s="110"/>
      <c r="B25" s="94" t="s">
        <v>35</v>
      </c>
      <c r="C25" s="95"/>
      <c r="D25" s="58">
        <v>4340</v>
      </c>
      <c r="E25" s="59"/>
      <c r="F25" s="58">
        <v>5120</v>
      </c>
      <c r="G25" s="59"/>
      <c r="H25" s="58">
        <v>3550</v>
      </c>
      <c r="I25" s="59"/>
      <c r="J25" s="58">
        <v>6210</v>
      </c>
      <c r="K25" s="59"/>
      <c r="L25" s="58">
        <v>3270</v>
      </c>
      <c r="M25" s="59"/>
      <c r="N25" s="58">
        <v>2050</v>
      </c>
      <c r="O25" s="59"/>
      <c r="P25" s="58">
        <v>5410</v>
      </c>
      <c r="Q25" s="59"/>
      <c r="R25" s="58">
        <v>5780</v>
      </c>
      <c r="S25" s="59"/>
      <c r="T25" s="58">
        <v>10140</v>
      </c>
      <c r="U25" s="59"/>
      <c r="V25" s="58">
        <v>10000</v>
      </c>
      <c r="W25" s="59"/>
      <c r="X25" s="58">
        <v>10000</v>
      </c>
      <c r="Y25" s="59"/>
      <c r="Z25" s="149">
        <v>6850</v>
      </c>
      <c r="AA25" s="59"/>
      <c r="AB25" s="137"/>
      <c r="AC25" s="138"/>
    </row>
    <row r="26" spans="1:39" ht="24" customHeight="1">
      <c r="A26" s="110"/>
      <c r="B26" s="94" t="s">
        <v>47</v>
      </c>
      <c r="C26" s="95"/>
      <c r="D26" s="58">
        <v>8800</v>
      </c>
      <c r="E26" s="59"/>
      <c r="F26" s="58">
        <v>8800</v>
      </c>
      <c r="G26" s="59"/>
      <c r="H26" s="58">
        <v>4700</v>
      </c>
      <c r="I26" s="59"/>
      <c r="J26" s="58">
        <v>3600</v>
      </c>
      <c r="K26" s="59"/>
      <c r="L26" s="58">
        <v>3600</v>
      </c>
      <c r="M26" s="59"/>
      <c r="N26" s="58">
        <v>3600</v>
      </c>
      <c r="O26" s="59"/>
      <c r="P26" s="58">
        <v>3600</v>
      </c>
      <c r="Q26" s="59"/>
      <c r="R26" s="58">
        <v>3600</v>
      </c>
      <c r="S26" s="59"/>
      <c r="T26" s="58">
        <v>3600</v>
      </c>
      <c r="U26" s="59"/>
      <c r="V26" s="58">
        <v>3600</v>
      </c>
      <c r="W26" s="59"/>
      <c r="X26" s="58">
        <v>3600</v>
      </c>
      <c r="Y26" s="59"/>
      <c r="Z26" s="149">
        <v>3600</v>
      </c>
      <c r="AA26" s="59"/>
      <c r="AB26" s="137"/>
      <c r="AC26" s="138"/>
    </row>
    <row r="27" spans="1:39" ht="24" customHeight="1">
      <c r="A27" s="111"/>
      <c r="B27" s="94" t="s">
        <v>48</v>
      </c>
      <c r="C27" s="95"/>
      <c r="D27" s="83">
        <v>5767</v>
      </c>
      <c r="E27" s="84"/>
      <c r="F27" s="83">
        <v>5767</v>
      </c>
      <c r="G27" s="84"/>
      <c r="H27" s="83">
        <v>5767</v>
      </c>
      <c r="I27" s="84"/>
      <c r="J27" s="83">
        <v>5767</v>
      </c>
      <c r="K27" s="84"/>
      <c r="L27" s="83">
        <v>5767</v>
      </c>
      <c r="M27" s="84"/>
      <c r="N27" s="83">
        <v>11990</v>
      </c>
      <c r="O27" s="84"/>
      <c r="P27" s="83">
        <v>11990</v>
      </c>
      <c r="Q27" s="84"/>
      <c r="R27" s="83">
        <v>0</v>
      </c>
      <c r="S27" s="84"/>
      <c r="T27" s="174">
        <v>0</v>
      </c>
      <c r="U27" s="175"/>
      <c r="V27" s="83">
        <v>0</v>
      </c>
      <c r="W27" s="84"/>
      <c r="X27" s="83">
        <v>0</v>
      </c>
      <c r="Y27" s="84"/>
      <c r="Z27" s="131">
        <v>0</v>
      </c>
      <c r="AA27" s="84"/>
      <c r="AB27" s="141"/>
      <c r="AC27" s="142"/>
    </row>
    <row r="28" spans="1:39" ht="24" customHeight="1" thickBot="1">
      <c r="A28" s="71" t="s">
        <v>36</v>
      </c>
      <c r="B28" s="72"/>
      <c r="C28" s="73"/>
      <c r="D28" s="83">
        <f>SUM(D24:D27)</f>
        <v>19437</v>
      </c>
      <c r="E28" s="84"/>
      <c r="F28" s="83">
        <f>SUM(F24:F27)</f>
        <v>20282</v>
      </c>
      <c r="G28" s="84"/>
      <c r="H28" s="83">
        <f>SUM(H24:H27)</f>
        <v>14496</v>
      </c>
      <c r="I28" s="84"/>
      <c r="J28" s="83">
        <f>SUM(J24:J27)</f>
        <v>16292.236000000001</v>
      </c>
      <c r="K28" s="84"/>
      <c r="L28" s="83">
        <v>43094</v>
      </c>
      <c r="M28" s="84"/>
      <c r="N28" s="83">
        <f>SUM(N24:N27)</f>
        <v>17984.400000000001</v>
      </c>
      <c r="O28" s="84"/>
      <c r="P28" s="83">
        <f>SUM(P24:P27)</f>
        <v>21644.196</v>
      </c>
      <c r="Q28" s="84"/>
      <c r="R28" s="83">
        <f>SUM(R24:R27)</f>
        <v>10048.112000000001</v>
      </c>
      <c r="S28" s="84"/>
      <c r="T28" s="83">
        <v>44705</v>
      </c>
      <c r="U28" s="84"/>
      <c r="V28" s="83">
        <f>SUM(V24:V27)</f>
        <v>14548.191999999999</v>
      </c>
      <c r="W28" s="84"/>
      <c r="X28" s="83">
        <f>SUM(X24:X27)</f>
        <v>14471.74</v>
      </c>
      <c r="Y28" s="84"/>
      <c r="Z28" s="131">
        <f>SUM(Z24:Z27)</f>
        <v>11092.288</v>
      </c>
      <c r="AA28" s="84"/>
      <c r="AB28" s="141">
        <f>SUM(AB24:AB27)</f>
        <v>0</v>
      </c>
      <c r="AC28" s="142"/>
    </row>
    <row r="29" spans="1:39" ht="24" customHeight="1" thickTop="1" thickBot="1">
      <c r="A29" s="132" t="s">
        <v>37</v>
      </c>
      <c r="B29" s="133"/>
      <c r="C29" s="134"/>
      <c r="D29" s="126">
        <f>D23-D28</f>
        <v>167122</v>
      </c>
      <c r="E29" s="127"/>
      <c r="F29" s="126">
        <f>F23-F28</f>
        <v>177930</v>
      </c>
      <c r="G29" s="127"/>
      <c r="H29" s="126">
        <f>H23-H28</f>
        <v>145046</v>
      </c>
      <c r="I29" s="127"/>
      <c r="J29" s="126">
        <f>J23-J28</f>
        <v>222119.764</v>
      </c>
      <c r="K29" s="127"/>
      <c r="L29" s="126">
        <f>L23-L28</f>
        <v>119206</v>
      </c>
      <c r="M29" s="127"/>
      <c r="N29" s="126">
        <f>N23-N28</f>
        <v>96815.6</v>
      </c>
      <c r="O29" s="127"/>
      <c r="P29" s="126">
        <f>P23-P28</f>
        <v>193087.804</v>
      </c>
      <c r="Q29" s="127"/>
      <c r="R29" s="126">
        <f>R23-R28</f>
        <v>212655.88800000001</v>
      </c>
      <c r="S29" s="127"/>
      <c r="T29" s="126">
        <f>T23-T28</f>
        <v>277065</v>
      </c>
      <c r="U29" s="127"/>
      <c r="V29" s="126">
        <f>V23-V28</f>
        <v>301515.80800000002</v>
      </c>
      <c r="W29" s="127"/>
      <c r="X29" s="126">
        <f>X21-X28</f>
        <v>276108.26</v>
      </c>
      <c r="Y29" s="127"/>
      <c r="Z29" s="128">
        <f>Z21-Z28</f>
        <v>203003.712</v>
      </c>
      <c r="AA29" s="127"/>
      <c r="AB29" s="155"/>
      <c r="AC29" s="156"/>
    </row>
    <row r="33" spans="14:14">
      <c r="N33" s="1">
        <v>5340</v>
      </c>
    </row>
  </sheetData>
  <mergeCells count="320">
    <mergeCell ref="Z29:AA29"/>
    <mergeCell ref="AB29:AC29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A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R26:S26"/>
    <mergeCell ref="T26:U26"/>
    <mergeCell ref="V26:W26"/>
    <mergeCell ref="X26:Y26"/>
    <mergeCell ref="Z26:AA26"/>
    <mergeCell ref="AB25:AC25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R25:S25"/>
    <mergeCell ref="T25:U25"/>
    <mergeCell ref="V25:W25"/>
    <mergeCell ref="X25:Y25"/>
    <mergeCell ref="B25:C25"/>
    <mergeCell ref="D25:E25"/>
    <mergeCell ref="F25:G25"/>
    <mergeCell ref="H25:I25"/>
    <mergeCell ref="J25:K25"/>
    <mergeCell ref="L25:M25"/>
    <mergeCell ref="R24:S24"/>
    <mergeCell ref="T24:U24"/>
    <mergeCell ref="V24:W24"/>
    <mergeCell ref="X24:Y24"/>
    <mergeCell ref="Z24:AA24"/>
    <mergeCell ref="AB24:AC24"/>
    <mergeCell ref="AB23:AC23"/>
    <mergeCell ref="A24:A27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AB26:AC26"/>
    <mergeCell ref="Z25:AA25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1:AC2"/>
    <mergeCell ref="A3:D3"/>
    <mergeCell ref="E3:K3"/>
    <mergeCell ref="L3:R3"/>
    <mergeCell ref="S3:Y3"/>
    <mergeCell ref="Z3:AC3"/>
    <mergeCell ref="AF10:AH10"/>
    <mergeCell ref="AF11:AH11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F21:AH21"/>
    <mergeCell ref="AF9:AH9"/>
    <mergeCell ref="AJ9:AL9"/>
    <mergeCell ref="AJ10:AL10"/>
    <mergeCell ref="AJ11:AL11"/>
    <mergeCell ref="AJ12:AL12"/>
    <mergeCell ref="AJ13:AL13"/>
    <mergeCell ref="AJ14:AL14"/>
    <mergeCell ref="AJ15:AL15"/>
    <mergeCell ref="AJ16:AL16"/>
    <mergeCell ref="AJ17:AL17"/>
    <mergeCell ref="AJ18:AL18"/>
    <mergeCell ref="AJ19:AL19"/>
    <mergeCell ref="AJ20:AL20"/>
    <mergeCell ref="AJ21:AL21"/>
    <mergeCell ref="AF12:AH12"/>
    <mergeCell ref="AF13:AH13"/>
    <mergeCell ref="AF14:AH14"/>
    <mergeCell ref="AF15:AH15"/>
    <mergeCell ref="AF16:AH16"/>
    <mergeCell ref="AF17:AH17"/>
    <mergeCell ref="AF18:AH18"/>
    <mergeCell ref="AF19:AH19"/>
    <mergeCell ref="AF20:AH20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D20C7-9B50-4535-A504-4E6B450B0C53}">
  <sheetPr>
    <tabColor theme="7"/>
  </sheetPr>
  <dimension ref="A1:AG30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30" width="5.625" style="1"/>
    <col min="31" max="31" width="9.875" style="1" bestFit="1" customWidth="1"/>
    <col min="32" max="32" width="5.625" style="1"/>
    <col min="33" max="33" width="9.875" style="1" bestFit="1" customWidth="1"/>
    <col min="34" max="16384" width="5.625" style="1"/>
  </cols>
  <sheetData>
    <row r="1" spans="1:29">
      <c r="A1" s="37" t="s">
        <v>130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52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176" t="s">
        <v>20</v>
      </c>
      <c r="AC6" s="177"/>
    </row>
    <row r="7" spans="1:29" ht="24.75" customHeight="1">
      <c r="A7" s="65" t="s">
        <v>40</v>
      </c>
      <c r="B7" s="66"/>
      <c r="C7" s="67"/>
      <c r="D7" s="3">
        <v>20</v>
      </c>
      <c r="E7" s="4" t="s">
        <v>21</v>
      </c>
      <c r="F7" s="3">
        <v>20</v>
      </c>
      <c r="G7" s="4" t="s">
        <v>21</v>
      </c>
      <c r="H7" s="3">
        <v>17</v>
      </c>
      <c r="I7" s="4" t="s">
        <v>21</v>
      </c>
      <c r="J7" s="3">
        <v>16</v>
      </c>
      <c r="K7" s="4" t="s">
        <v>21</v>
      </c>
      <c r="L7" s="3">
        <v>17</v>
      </c>
      <c r="M7" s="4" t="s">
        <v>21</v>
      </c>
      <c r="N7" s="3">
        <v>18</v>
      </c>
      <c r="O7" s="4" t="s">
        <v>21</v>
      </c>
      <c r="P7" s="3">
        <v>21</v>
      </c>
      <c r="Q7" s="4" t="s">
        <v>21</v>
      </c>
      <c r="R7" s="3">
        <v>22</v>
      </c>
      <c r="S7" s="4" t="s">
        <v>21</v>
      </c>
      <c r="T7" s="3">
        <v>19</v>
      </c>
      <c r="U7" s="4" t="s">
        <v>21</v>
      </c>
      <c r="V7" s="3">
        <v>22</v>
      </c>
      <c r="W7" s="4" t="s">
        <v>21</v>
      </c>
      <c r="X7" s="3">
        <v>20</v>
      </c>
      <c r="Y7" s="4" t="s">
        <v>21</v>
      </c>
      <c r="Z7" s="3">
        <v>16</v>
      </c>
      <c r="AA7" s="4" t="s">
        <v>21</v>
      </c>
      <c r="AB7" s="30"/>
      <c r="AC7" s="31" t="s">
        <v>21</v>
      </c>
    </row>
    <row r="8" spans="1:29" ht="24.75" customHeight="1">
      <c r="A8" s="65" t="s">
        <v>41</v>
      </c>
      <c r="B8" s="66"/>
      <c r="C8" s="67"/>
      <c r="D8" s="3">
        <v>1</v>
      </c>
      <c r="E8" s="4" t="s">
        <v>21</v>
      </c>
      <c r="F8" s="3">
        <v>1</v>
      </c>
      <c r="G8" s="4" t="s">
        <v>21</v>
      </c>
      <c r="H8" s="3">
        <v>1</v>
      </c>
      <c r="I8" s="4" t="s">
        <v>21</v>
      </c>
      <c r="J8" s="3">
        <v>2</v>
      </c>
      <c r="K8" s="4" t="s">
        <v>21</v>
      </c>
      <c r="L8" s="3">
        <v>1</v>
      </c>
      <c r="M8" s="4" t="s">
        <v>21</v>
      </c>
      <c r="N8" s="3"/>
      <c r="O8" s="4" t="s">
        <v>21</v>
      </c>
      <c r="P8" s="3"/>
      <c r="Q8" s="4" t="s">
        <v>21</v>
      </c>
      <c r="R8" s="3">
        <v>3</v>
      </c>
      <c r="S8" s="4" t="s">
        <v>21</v>
      </c>
      <c r="T8" s="3">
        <v>1</v>
      </c>
      <c r="U8" s="4" t="s">
        <v>21</v>
      </c>
      <c r="V8" s="3">
        <v>1</v>
      </c>
      <c r="W8" s="4" t="s">
        <v>21</v>
      </c>
      <c r="X8" s="3">
        <v>2</v>
      </c>
      <c r="Y8" s="4" t="s">
        <v>21</v>
      </c>
      <c r="Z8" s="3">
        <v>1</v>
      </c>
      <c r="AA8" s="4" t="s">
        <v>21</v>
      </c>
      <c r="AB8" s="30"/>
      <c r="AC8" s="31" t="s">
        <v>22</v>
      </c>
    </row>
    <row r="9" spans="1:29" ht="24.75" customHeight="1">
      <c r="A9" s="65" t="s">
        <v>49</v>
      </c>
      <c r="B9" s="66"/>
      <c r="C9" s="67"/>
      <c r="D9" s="3">
        <v>21</v>
      </c>
      <c r="E9" s="4" t="s">
        <v>22</v>
      </c>
      <c r="F9" s="3">
        <v>4</v>
      </c>
      <c r="G9" s="4" t="s">
        <v>22</v>
      </c>
      <c r="H9" s="3">
        <v>0.5</v>
      </c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6</v>
      </c>
      <c r="S9" s="4" t="s">
        <v>22</v>
      </c>
      <c r="T9" s="3">
        <v>6</v>
      </c>
      <c r="U9" s="4" t="s">
        <v>22</v>
      </c>
      <c r="V9" s="3">
        <v>6</v>
      </c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80" t="s">
        <v>69</v>
      </c>
      <c r="B10" s="81"/>
      <c r="C10" s="8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3</v>
      </c>
      <c r="S10" s="4" t="s">
        <v>22</v>
      </c>
      <c r="T10" s="3">
        <v>3</v>
      </c>
      <c r="U10" s="4" t="s">
        <v>22</v>
      </c>
      <c r="V10" s="3">
        <v>3</v>
      </c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71" t="s">
        <v>26</v>
      </c>
      <c r="B11" s="72"/>
      <c r="C11" s="73"/>
      <c r="D11" s="74">
        <v>8000</v>
      </c>
      <c r="E11" s="75"/>
      <c r="F11" s="74">
        <v>8000</v>
      </c>
      <c r="G11" s="75"/>
      <c r="H11" s="74">
        <v>8000</v>
      </c>
      <c r="I11" s="75"/>
      <c r="J11" s="74">
        <v>8000</v>
      </c>
      <c r="K11" s="75"/>
      <c r="L11" s="74">
        <v>8000</v>
      </c>
      <c r="M11" s="75"/>
      <c r="N11" s="74">
        <v>8000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7"/>
      <c r="AB11" s="135"/>
      <c r="AC11" s="136"/>
    </row>
    <row r="12" spans="1:29" ht="24.75" customHeight="1">
      <c r="A12" s="65" t="s">
        <v>49</v>
      </c>
      <c r="B12" s="66"/>
      <c r="C12" s="67"/>
      <c r="D12" s="58">
        <v>1250</v>
      </c>
      <c r="E12" s="59"/>
      <c r="F12" s="58">
        <v>1250</v>
      </c>
      <c r="G12" s="59"/>
      <c r="H12" s="58">
        <v>1250</v>
      </c>
      <c r="I12" s="59"/>
      <c r="J12" s="58">
        <v>1250</v>
      </c>
      <c r="K12" s="59"/>
      <c r="L12" s="58">
        <v>1250</v>
      </c>
      <c r="M12" s="59"/>
      <c r="N12" s="58">
        <v>1250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79"/>
      <c r="AB12" s="137"/>
      <c r="AC12" s="138"/>
    </row>
    <row r="13" spans="1:29" ht="24.75" customHeight="1">
      <c r="A13" s="89" t="s">
        <v>27</v>
      </c>
      <c r="B13" s="90"/>
      <c r="C13" s="66"/>
      <c r="D13" s="58">
        <v>10000</v>
      </c>
      <c r="E13" s="59"/>
      <c r="F13" s="58">
        <v>10000</v>
      </c>
      <c r="G13" s="59"/>
      <c r="H13" s="58">
        <v>10000</v>
      </c>
      <c r="I13" s="59"/>
      <c r="J13" s="58">
        <v>10000</v>
      </c>
      <c r="K13" s="59"/>
      <c r="L13" s="58">
        <v>10000</v>
      </c>
      <c r="M13" s="59"/>
      <c r="N13" s="58">
        <v>10000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79"/>
      <c r="AB13" s="137"/>
      <c r="AC13" s="138"/>
    </row>
    <row r="14" spans="1:29" ht="24.75" customHeight="1" thickBot="1">
      <c r="A14" s="80" t="s">
        <v>50</v>
      </c>
      <c r="B14" s="81"/>
      <c r="C14" s="82"/>
      <c r="D14" s="85">
        <v>1562</v>
      </c>
      <c r="E14" s="86"/>
      <c r="F14" s="85">
        <v>1562</v>
      </c>
      <c r="G14" s="86"/>
      <c r="H14" s="85">
        <v>1562</v>
      </c>
      <c r="I14" s="86"/>
      <c r="J14" s="85">
        <v>1562</v>
      </c>
      <c r="K14" s="86"/>
      <c r="L14" s="85">
        <v>1562</v>
      </c>
      <c r="M14" s="86"/>
      <c r="N14" s="85">
        <v>1562</v>
      </c>
      <c r="O14" s="86"/>
      <c r="P14" s="85">
        <v>1562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88"/>
      <c r="AB14" s="139"/>
      <c r="AC14" s="140"/>
    </row>
    <row r="15" spans="1:29" ht="24.75" customHeight="1" thickTop="1">
      <c r="A15" s="91" t="s">
        <v>42</v>
      </c>
      <c r="B15" s="20" t="s">
        <v>102</v>
      </c>
      <c r="C15" s="22" t="s">
        <v>43</v>
      </c>
      <c r="D15" s="74">
        <v>14703</v>
      </c>
      <c r="E15" s="75"/>
      <c r="F15" s="74">
        <v>12972</v>
      </c>
      <c r="G15" s="75"/>
      <c r="H15" s="74">
        <v>10846</v>
      </c>
      <c r="I15" s="75"/>
      <c r="J15" s="74">
        <v>10800</v>
      </c>
      <c r="K15" s="75"/>
      <c r="L15" s="74">
        <v>10200</v>
      </c>
      <c r="M15" s="75"/>
      <c r="N15" s="74">
        <v>10800</v>
      </c>
      <c r="O15" s="75"/>
      <c r="P15" s="74">
        <v>12600</v>
      </c>
      <c r="Q15" s="75"/>
      <c r="R15" s="74">
        <v>15000</v>
      </c>
      <c r="S15" s="75"/>
      <c r="T15" s="74">
        <v>12000</v>
      </c>
      <c r="U15" s="75"/>
      <c r="V15" s="74">
        <v>13800</v>
      </c>
      <c r="W15" s="75"/>
      <c r="X15" s="74">
        <v>13200</v>
      </c>
      <c r="Y15" s="75"/>
      <c r="Z15" s="74">
        <v>10200</v>
      </c>
      <c r="AA15" s="75"/>
      <c r="AB15" s="135"/>
      <c r="AC15" s="136"/>
    </row>
    <row r="16" spans="1:29" ht="24.75" customHeight="1">
      <c r="A16" s="92"/>
      <c r="B16" s="18"/>
      <c r="C16" s="19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37"/>
      <c r="AC16" s="138"/>
    </row>
    <row r="17" spans="1:33" ht="24.75" customHeight="1">
      <c r="A17" s="92"/>
      <c r="B17" s="18"/>
      <c r="C17" s="19" t="s">
        <v>45</v>
      </c>
      <c r="D17" s="58">
        <v>3450</v>
      </c>
      <c r="E17" s="59"/>
      <c r="F17" s="58">
        <v>5650</v>
      </c>
      <c r="G17" s="59"/>
      <c r="H17" s="58">
        <v>3150</v>
      </c>
      <c r="I17" s="59"/>
      <c r="J17" s="58">
        <v>1000</v>
      </c>
      <c r="K17" s="59"/>
      <c r="L17" s="58">
        <v>14750</v>
      </c>
      <c r="M17" s="59"/>
      <c r="N17" s="58">
        <v>200</v>
      </c>
      <c r="O17" s="59"/>
      <c r="P17" s="58">
        <v>1000</v>
      </c>
      <c r="Q17" s="59"/>
      <c r="R17" s="58">
        <v>400</v>
      </c>
      <c r="S17" s="59"/>
      <c r="T17" s="58">
        <v>1600</v>
      </c>
      <c r="U17" s="59"/>
      <c r="V17" s="58"/>
      <c r="W17" s="59"/>
      <c r="X17" s="58"/>
      <c r="Y17" s="59"/>
      <c r="Z17" s="58">
        <v>1200</v>
      </c>
      <c r="AA17" s="59"/>
      <c r="AB17" s="137"/>
      <c r="AC17" s="138"/>
      <c r="AE17" s="33"/>
    </row>
    <row r="18" spans="1:33" ht="24.75" customHeight="1">
      <c r="A18" s="92"/>
      <c r="B18" s="94" t="s">
        <v>28</v>
      </c>
      <c r="C18" s="95"/>
      <c r="D18" s="58">
        <v>5775</v>
      </c>
      <c r="E18" s="59"/>
      <c r="F18" s="58">
        <v>6007</v>
      </c>
      <c r="G18" s="59"/>
      <c r="H18" s="58">
        <v>4717</v>
      </c>
      <c r="I18" s="59"/>
      <c r="J18" s="58">
        <v>6527</v>
      </c>
      <c r="K18" s="59"/>
      <c r="L18" s="58">
        <v>4200</v>
      </c>
      <c r="M18" s="59"/>
      <c r="N18" s="58">
        <v>3560</v>
      </c>
      <c r="O18" s="59"/>
      <c r="P18" s="58">
        <v>3760</v>
      </c>
      <c r="Q18" s="59"/>
      <c r="R18" s="58">
        <v>6256</v>
      </c>
      <c r="S18" s="59"/>
      <c r="T18" s="58">
        <v>2864</v>
      </c>
      <c r="U18" s="59"/>
      <c r="V18" s="58">
        <v>5168</v>
      </c>
      <c r="W18" s="59"/>
      <c r="X18" s="58">
        <v>6912</v>
      </c>
      <c r="Y18" s="59"/>
      <c r="Z18" s="58">
        <v>4296</v>
      </c>
      <c r="AA18" s="59"/>
      <c r="AB18" s="137"/>
      <c r="AC18" s="138"/>
      <c r="AE18" s="33"/>
    </row>
    <row r="19" spans="1:33" ht="24.75" customHeight="1">
      <c r="A19" s="92"/>
      <c r="B19" s="94" t="s">
        <v>29</v>
      </c>
      <c r="C19" s="95"/>
      <c r="D19" s="58">
        <v>2600</v>
      </c>
      <c r="E19" s="59"/>
      <c r="F19" s="58">
        <v>4200</v>
      </c>
      <c r="G19" s="59"/>
      <c r="H19" s="58">
        <v>2200</v>
      </c>
      <c r="I19" s="59"/>
      <c r="J19" s="58">
        <v>800</v>
      </c>
      <c r="K19" s="59"/>
      <c r="L19" s="58">
        <v>3800</v>
      </c>
      <c r="M19" s="59"/>
      <c r="N19" s="58">
        <v>4050</v>
      </c>
      <c r="O19" s="59"/>
      <c r="P19" s="58">
        <v>4200</v>
      </c>
      <c r="Q19" s="59"/>
      <c r="R19" s="58">
        <v>3600</v>
      </c>
      <c r="S19" s="59"/>
      <c r="T19" s="58">
        <v>3150</v>
      </c>
      <c r="U19" s="59"/>
      <c r="V19" s="58">
        <v>8550</v>
      </c>
      <c r="W19" s="59"/>
      <c r="X19" s="58">
        <v>6750</v>
      </c>
      <c r="Y19" s="59"/>
      <c r="Z19" s="58">
        <v>1350</v>
      </c>
      <c r="AA19" s="59"/>
      <c r="AB19" s="137"/>
      <c r="AC19" s="138"/>
      <c r="AE19" s="33"/>
    </row>
    <row r="20" spans="1:33" ht="24.75" customHeight="1" thickBot="1">
      <c r="A20" s="93"/>
      <c r="B20" s="52" t="s">
        <v>30</v>
      </c>
      <c r="C20" s="48"/>
      <c r="D20" s="85"/>
      <c r="E20" s="86"/>
      <c r="F20" s="85">
        <v>2000</v>
      </c>
      <c r="G20" s="86"/>
      <c r="H20" s="85">
        <v>4000</v>
      </c>
      <c r="I20" s="86"/>
      <c r="J20" s="85"/>
      <c r="K20" s="86"/>
      <c r="L20" s="85">
        <v>10000</v>
      </c>
      <c r="M20" s="86"/>
      <c r="N20" s="85"/>
      <c r="O20" s="86"/>
      <c r="P20" s="85">
        <v>1000</v>
      </c>
      <c r="Q20" s="86"/>
      <c r="R20" s="85"/>
      <c r="S20" s="86"/>
      <c r="T20" s="85">
        <v>20000</v>
      </c>
      <c r="U20" s="86"/>
      <c r="V20" s="85"/>
      <c r="W20" s="86"/>
      <c r="X20" s="85"/>
      <c r="Y20" s="86"/>
      <c r="Z20" s="85"/>
      <c r="AA20" s="86"/>
      <c r="AB20" s="139"/>
      <c r="AC20" s="140"/>
      <c r="AE20" s="33"/>
    </row>
    <row r="21" spans="1:33" ht="24.75" customHeight="1" thickTop="1">
      <c r="A21" s="71" t="s">
        <v>31</v>
      </c>
      <c r="B21" s="72"/>
      <c r="C21" s="73"/>
      <c r="D21" s="74">
        <f>INT(D7*D11+D8*D13+D10*D12+D15+D16+D17+D18+D19+D20+D9*D12)</f>
        <v>222778</v>
      </c>
      <c r="E21" s="75"/>
      <c r="F21" s="74">
        <f>INT(F7*F11+F8*F13+F10*F12+F15+F16+F17+F18+F19+F9*F12+F20)</f>
        <v>205829</v>
      </c>
      <c r="G21" s="75"/>
      <c r="H21" s="74">
        <f>INT(H7*H11+H8*H13+H10*H12+H15+H16+H17+H18+H19+H20+H9*H12)</f>
        <v>171538</v>
      </c>
      <c r="I21" s="75"/>
      <c r="J21" s="74">
        <f t="shared" ref="J21" si="0">INT(J7*J11+J8*J13+J10*J12+J15+J16+J17+J18+J19+J20)</f>
        <v>167127</v>
      </c>
      <c r="K21" s="75"/>
      <c r="L21" s="74">
        <f t="shared" ref="L21" si="1">INT(L7*L11+L8*L13+L10*L12+L15+L16+L17+L18+L19+L20)</f>
        <v>188950</v>
      </c>
      <c r="M21" s="75"/>
      <c r="N21" s="74">
        <f>N7*N11+N17+N18+N19+N20+N15</f>
        <v>162610</v>
      </c>
      <c r="O21" s="75"/>
      <c r="P21" s="74">
        <f t="shared" ref="P21" si="2">INT(P7*P11+P8*P13+P10*P12+P15+P16+P17+P18+P19+P20)</f>
        <v>190560</v>
      </c>
      <c r="Q21" s="75"/>
      <c r="R21" s="74">
        <f>INT(R7*R11+R8*R13+R9*R12+R15+R16+R17+R18+R19+R20+R10*R14)</f>
        <v>243442</v>
      </c>
      <c r="S21" s="75"/>
      <c r="T21" s="74">
        <f>INT(T7*T11+T8*T13+T9*T12+T15+T16+T17+T18+T19+T20+T10*T14)</f>
        <v>213800</v>
      </c>
      <c r="U21" s="75"/>
      <c r="V21" s="74">
        <f>INT(V7*V11+V8*V13+V9*V12+V15+V16+V17+V18+V19+V20+V10*V14)</f>
        <v>225704</v>
      </c>
      <c r="W21" s="75"/>
      <c r="X21" s="74">
        <f t="shared" ref="X21" si="3">INT(X7*X11+X8*X13+X10*X12+X15+X16+X17+X18+X19+X20)</f>
        <v>206862</v>
      </c>
      <c r="Y21" s="75"/>
      <c r="Z21" s="74">
        <f t="shared" ref="Z21" si="4">INT(Z7*Z11+Z8*Z13+Z10*Z12+Z15+Z16+Z17+Z18+Z19+Z20)</f>
        <v>155046</v>
      </c>
      <c r="AA21" s="75"/>
      <c r="AB21" s="141">
        <f>D21+F21+H21+J21+L21+N21</f>
        <v>1118832</v>
      </c>
      <c r="AC21" s="142"/>
      <c r="AG21" s="33"/>
    </row>
    <row r="22" spans="1:33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45"/>
      <c r="AC22" s="146"/>
    </row>
    <row r="23" spans="1:33" ht="24.75" customHeight="1" thickBot="1">
      <c r="A23" s="117" t="s">
        <v>20</v>
      </c>
      <c r="B23" s="118"/>
      <c r="C23" s="119"/>
      <c r="D23" s="105">
        <f>D21</f>
        <v>222778</v>
      </c>
      <c r="E23" s="106"/>
      <c r="F23" s="105">
        <f t="shared" ref="F23" si="5">F21+F22</f>
        <v>205829</v>
      </c>
      <c r="G23" s="106"/>
      <c r="H23" s="105">
        <f t="shared" ref="H23" si="6">H21+H22</f>
        <v>171538</v>
      </c>
      <c r="I23" s="106"/>
      <c r="J23" s="105">
        <f t="shared" ref="J23" si="7">J21+J22</f>
        <v>167127</v>
      </c>
      <c r="K23" s="106"/>
      <c r="L23" s="105">
        <f t="shared" ref="L23" si="8">L21+L22</f>
        <v>188950</v>
      </c>
      <c r="M23" s="106"/>
      <c r="N23" s="105">
        <f t="shared" ref="N23" si="9">N21+N22</f>
        <v>162610</v>
      </c>
      <c r="O23" s="106"/>
      <c r="P23" s="105">
        <f t="shared" ref="P23" si="10">P21+P22</f>
        <v>190560</v>
      </c>
      <c r="Q23" s="106"/>
      <c r="R23" s="105">
        <f t="shared" ref="R23" si="11">R21+R22</f>
        <v>243442</v>
      </c>
      <c r="S23" s="106"/>
      <c r="T23" s="105">
        <f>T21+T22</f>
        <v>213800</v>
      </c>
      <c r="U23" s="106"/>
      <c r="V23" s="105">
        <f t="shared" ref="V23" si="12">V21+V22</f>
        <v>225704</v>
      </c>
      <c r="W23" s="106"/>
      <c r="X23" s="105">
        <f t="shared" ref="X23" si="13">X21+X22</f>
        <v>206862</v>
      </c>
      <c r="Y23" s="106"/>
      <c r="Z23" s="105">
        <f t="shared" ref="Z23" si="14">Z21+Z22</f>
        <v>155046</v>
      </c>
      <c r="AA23" s="106"/>
      <c r="AB23" s="147">
        <f>D23+F23+H23+J23+L23+N23</f>
        <v>1118832</v>
      </c>
      <c r="AC23" s="148"/>
    </row>
    <row r="24" spans="1:33" ht="24.75" customHeight="1">
      <c r="A24" s="109" t="s">
        <v>33</v>
      </c>
      <c r="B24" s="113" t="s">
        <v>34</v>
      </c>
      <c r="C24" s="114"/>
      <c r="D24" s="115">
        <f>D23*0.003</f>
        <v>668.33400000000006</v>
      </c>
      <c r="E24" s="116"/>
      <c r="F24" s="115">
        <f t="shared" ref="F24" si="15">F23*0.003</f>
        <v>617.48699999999997</v>
      </c>
      <c r="G24" s="116"/>
      <c r="H24" s="115">
        <f t="shared" ref="H24" si="16">H23*0.003</f>
        <v>514.61400000000003</v>
      </c>
      <c r="I24" s="116"/>
      <c r="J24" s="115">
        <f>J23*0.003</f>
        <v>501.38100000000003</v>
      </c>
      <c r="K24" s="116"/>
      <c r="L24" s="115">
        <f>L23*0.003</f>
        <v>566.85</v>
      </c>
      <c r="M24" s="116"/>
      <c r="N24" s="115">
        <f t="shared" ref="N24" si="17">N23*0.003</f>
        <v>487.83</v>
      </c>
      <c r="O24" s="116"/>
      <c r="P24" s="115">
        <f t="shared" ref="P24" si="18">P23*0.003</f>
        <v>571.68000000000006</v>
      </c>
      <c r="Q24" s="116"/>
      <c r="R24" s="115">
        <f t="shared" ref="R24" si="19">R23*0.003</f>
        <v>730.32600000000002</v>
      </c>
      <c r="S24" s="116"/>
      <c r="T24" s="115">
        <f t="shared" ref="T24" si="20">T23*0.003</f>
        <v>641.4</v>
      </c>
      <c r="U24" s="116"/>
      <c r="V24" s="115">
        <f t="shared" ref="V24" si="21">V23*0.003</f>
        <v>677.11199999999997</v>
      </c>
      <c r="W24" s="116"/>
      <c r="X24" s="115">
        <f t="shared" ref="X24" si="22">X23*0.003</f>
        <v>620.58600000000001</v>
      </c>
      <c r="Y24" s="116"/>
      <c r="Z24" s="115">
        <f t="shared" ref="Z24" si="23">Z23*0.003</f>
        <v>465.13800000000003</v>
      </c>
      <c r="AA24" s="116"/>
      <c r="AB24" s="150"/>
      <c r="AC24" s="151"/>
    </row>
    <row r="25" spans="1:33" ht="24.75" customHeight="1">
      <c r="A25" s="110"/>
      <c r="B25" s="94" t="s">
        <v>35</v>
      </c>
      <c r="C25" s="95"/>
      <c r="D25" s="58">
        <v>5560</v>
      </c>
      <c r="E25" s="59"/>
      <c r="F25" s="58">
        <v>4980</v>
      </c>
      <c r="G25" s="59"/>
      <c r="H25" s="58">
        <v>3620</v>
      </c>
      <c r="I25" s="59"/>
      <c r="J25" s="58">
        <v>3550</v>
      </c>
      <c r="K25" s="59"/>
      <c r="L25" s="58">
        <v>3910</v>
      </c>
      <c r="M25" s="59"/>
      <c r="N25" s="58">
        <v>3350</v>
      </c>
      <c r="O25" s="59"/>
      <c r="P25" s="58">
        <v>4910</v>
      </c>
      <c r="Q25" s="59"/>
      <c r="R25" s="58">
        <v>6420</v>
      </c>
      <c r="S25" s="59"/>
      <c r="T25" s="58">
        <v>5410</v>
      </c>
      <c r="U25" s="59"/>
      <c r="V25" s="58">
        <v>5410</v>
      </c>
      <c r="W25" s="59"/>
      <c r="X25" s="58">
        <v>5130</v>
      </c>
      <c r="Y25" s="59"/>
      <c r="Z25" s="58">
        <v>3270</v>
      </c>
      <c r="AA25" s="59"/>
      <c r="AB25" s="137"/>
      <c r="AC25" s="138"/>
    </row>
    <row r="26" spans="1:33" ht="24.75" customHeight="1">
      <c r="A26" s="110"/>
      <c r="B26" s="94" t="s">
        <v>47</v>
      </c>
      <c r="C26" s="95"/>
      <c r="D26" s="58">
        <v>11800</v>
      </c>
      <c r="E26" s="59"/>
      <c r="F26" s="58">
        <v>11800</v>
      </c>
      <c r="G26" s="59"/>
      <c r="H26" s="58">
        <v>9300</v>
      </c>
      <c r="I26" s="59"/>
      <c r="J26" s="58">
        <v>9000</v>
      </c>
      <c r="K26" s="59"/>
      <c r="L26" s="58">
        <v>9000</v>
      </c>
      <c r="M26" s="59"/>
      <c r="N26" s="58">
        <v>9000</v>
      </c>
      <c r="O26" s="59"/>
      <c r="P26" s="58">
        <v>9000</v>
      </c>
      <c r="Q26" s="59"/>
      <c r="R26" s="58">
        <v>9000</v>
      </c>
      <c r="S26" s="59"/>
      <c r="T26" s="58">
        <v>9000</v>
      </c>
      <c r="U26" s="59"/>
      <c r="V26" s="58">
        <v>9000</v>
      </c>
      <c r="W26" s="59"/>
      <c r="X26" s="58">
        <v>9000</v>
      </c>
      <c r="Y26" s="59"/>
      <c r="Z26" s="58">
        <v>9000</v>
      </c>
      <c r="AA26" s="59"/>
      <c r="AB26" s="137"/>
      <c r="AC26" s="138"/>
    </row>
    <row r="27" spans="1:33" ht="24.75" customHeight="1">
      <c r="A27" s="111"/>
      <c r="B27" s="94" t="s">
        <v>48</v>
      </c>
      <c r="C27" s="95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  <c r="R27" s="83"/>
      <c r="S27" s="84"/>
      <c r="T27" s="83"/>
      <c r="U27" s="84"/>
      <c r="V27" s="83"/>
      <c r="W27" s="84"/>
      <c r="X27" s="83"/>
      <c r="Y27" s="84"/>
      <c r="Z27" s="83"/>
      <c r="AA27" s="84"/>
      <c r="AB27" s="141"/>
      <c r="AC27" s="142"/>
    </row>
    <row r="28" spans="1:33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>
        <v>10000</v>
      </c>
      <c r="M28" s="102"/>
      <c r="N28" s="101"/>
      <c r="O28" s="102"/>
      <c r="P28" s="101"/>
      <c r="Q28" s="102"/>
      <c r="R28" s="101"/>
      <c r="S28" s="102"/>
      <c r="T28" s="101">
        <v>20000</v>
      </c>
      <c r="U28" s="102"/>
      <c r="V28" s="101"/>
      <c r="W28" s="102"/>
      <c r="X28" s="101"/>
      <c r="Y28" s="102"/>
      <c r="Z28" s="101"/>
      <c r="AA28" s="102"/>
      <c r="AB28" s="152"/>
      <c r="AC28" s="153"/>
    </row>
    <row r="29" spans="1:33" ht="24.75" customHeight="1" thickBot="1">
      <c r="A29" s="71" t="s">
        <v>36</v>
      </c>
      <c r="B29" s="72"/>
      <c r="C29" s="73"/>
      <c r="D29" s="83">
        <f>SUM(D24:D28)</f>
        <v>18028.333999999999</v>
      </c>
      <c r="E29" s="84"/>
      <c r="F29" s="83">
        <f t="shared" ref="F29" si="24">SUM(F24:F28)</f>
        <v>17397.487000000001</v>
      </c>
      <c r="G29" s="84"/>
      <c r="H29" s="83">
        <f t="shared" ref="H29" si="25">SUM(H24:H28)</f>
        <v>13434.614</v>
      </c>
      <c r="I29" s="84"/>
      <c r="J29" s="83">
        <f t="shared" ref="J29" si="26">SUM(J24:J28)</f>
        <v>13051.380999999999</v>
      </c>
      <c r="K29" s="84"/>
      <c r="L29" s="83">
        <f t="shared" ref="L29" si="27">SUM(L24:L28)</f>
        <v>23476.85</v>
      </c>
      <c r="M29" s="84"/>
      <c r="N29" s="83">
        <f t="shared" ref="N29" si="28">SUM(N24:N28)</f>
        <v>12837.83</v>
      </c>
      <c r="O29" s="84"/>
      <c r="P29" s="83">
        <f t="shared" ref="P29" si="29">SUM(P24:P28)</f>
        <v>14481.68</v>
      </c>
      <c r="Q29" s="84"/>
      <c r="R29" s="83">
        <f t="shared" ref="R29" si="30">SUM(R24:R28)</f>
        <v>16150.326000000001</v>
      </c>
      <c r="S29" s="84"/>
      <c r="T29" s="83">
        <f t="shared" ref="T29" si="31">SUM(T24:T28)</f>
        <v>35051.4</v>
      </c>
      <c r="U29" s="84"/>
      <c r="V29" s="83">
        <f t="shared" ref="V29" si="32">SUM(V24:V28)</f>
        <v>15087.112000000001</v>
      </c>
      <c r="W29" s="84"/>
      <c r="X29" s="83">
        <f t="shared" ref="X29" si="33">SUM(X24:X28)</f>
        <v>14750.585999999999</v>
      </c>
      <c r="Y29" s="84"/>
      <c r="Z29" s="83">
        <f t="shared" ref="Z29" si="34">SUM(Z24:Z28)</f>
        <v>12735.137999999999</v>
      </c>
      <c r="AA29" s="131"/>
      <c r="AB29" s="141">
        <f t="shared" ref="AB29" si="35">SUM(AB24:AB28)</f>
        <v>0</v>
      </c>
      <c r="AC29" s="142"/>
    </row>
    <row r="30" spans="1:33" ht="24.75" customHeight="1" thickTop="1" thickBot="1">
      <c r="A30" s="132" t="s">
        <v>37</v>
      </c>
      <c r="B30" s="133"/>
      <c r="C30" s="134"/>
      <c r="D30" s="126">
        <f>D23-D29</f>
        <v>204749.666</v>
      </c>
      <c r="E30" s="127"/>
      <c r="F30" s="126">
        <f>F23-F29</f>
        <v>188431.51300000001</v>
      </c>
      <c r="G30" s="127"/>
      <c r="H30" s="126">
        <f>H23-H29</f>
        <v>158103.386</v>
      </c>
      <c r="I30" s="127"/>
      <c r="J30" s="126">
        <f>J23-J29</f>
        <v>154075.61900000001</v>
      </c>
      <c r="K30" s="127"/>
      <c r="L30" s="126">
        <f>L23-L29</f>
        <v>165473.15</v>
      </c>
      <c r="M30" s="127"/>
      <c r="N30" s="126">
        <f>N23-N29</f>
        <v>149772.17000000001</v>
      </c>
      <c r="O30" s="127"/>
      <c r="P30" s="126">
        <f>P23-P29</f>
        <v>176078.32</v>
      </c>
      <c r="Q30" s="127"/>
      <c r="R30" s="126">
        <f>R23-R29</f>
        <v>227291.674</v>
      </c>
      <c r="S30" s="127"/>
      <c r="T30" s="126">
        <f>T23-T29</f>
        <v>178748.6</v>
      </c>
      <c r="U30" s="127"/>
      <c r="V30" s="126">
        <f>V23-V29</f>
        <v>210616.88800000001</v>
      </c>
      <c r="W30" s="127"/>
      <c r="X30" s="126">
        <f>X21-X29</f>
        <v>192111.41399999999</v>
      </c>
      <c r="Y30" s="127"/>
      <c r="Z30" s="126">
        <f>Z23-Z29</f>
        <v>142310.86199999999</v>
      </c>
      <c r="AA30" s="128"/>
      <c r="AB30" s="155">
        <f>D30+F30+H30+J30+L30+N30</f>
        <v>1020605.504</v>
      </c>
      <c r="AC30" s="15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E258-A815-45A2-81D3-757E8E7C8538}">
  <sheetPr>
    <tabColor theme="5"/>
  </sheetPr>
  <dimension ref="A1:AC30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131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116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>
        <v>18</v>
      </c>
      <c r="S7" s="4" t="s">
        <v>21</v>
      </c>
      <c r="T7" s="3">
        <v>18</v>
      </c>
      <c r="U7" s="4" t="s">
        <v>21</v>
      </c>
      <c r="V7" s="3">
        <v>17</v>
      </c>
      <c r="W7" s="4" t="s">
        <v>21</v>
      </c>
      <c r="X7" s="3">
        <v>20</v>
      </c>
      <c r="Y7" s="4" t="s">
        <v>21</v>
      </c>
      <c r="Z7" s="3">
        <v>12</v>
      </c>
      <c r="AA7" s="4" t="s">
        <v>21</v>
      </c>
      <c r="AB7" s="24"/>
      <c r="AC7" s="9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>
        <v>4</v>
      </c>
      <c r="W8" s="4" t="s">
        <v>21</v>
      </c>
      <c r="X8" s="3">
        <v>1</v>
      </c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30</v>
      </c>
      <c r="S9" s="4" t="s">
        <v>22</v>
      </c>
      <c r="T9" s="3">
        <v>24</v>
      </c>
      <c r="U9" s="4" t="s">
        <v>22</v>
      </c>
      <c r="V9" s="3">
        <v>25</v>
      </c>
      <c r="W9" s="4" t="s">
        <v>22</v>
      </c>
      <c r="X9" s="3">
        <v>20</v>
      </c>
      <c r="Y9" s="4" t="s">
        <v>22</v>
      </c>
      <c r="Z9" s="3">
        <v>12</v>
      </c>
      <c r="AA9" s="4" t="s">
        <v>22</v>
      </c>
      <c r="AB9" s="24"/>
      <c r="AC9" s="9" t="s">
        <v>22</v>
      </c>
    </row>
    <row r="10" spans="1:29" ht="24.75" customHeight="1" thickBot="1">
      <c r="A10" s="65" t="s">
        <v>69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>
        <v>10</v>
      </c>
      <c r="W10" s="4" t="s">
        <v>22</v>
      </c>
      <c r="X10" s="3">
        <v>1</v>
      </c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/>
      <c r="E11" s="75"/>
      <c r="F11" s="74"/>
      <c r="G11" s="75"/>
      <c r="H11" s="74"/>
      <c r="I11" s="75"/>
      <c r="J11" s="74"/>
      <c r="K11" s="75"/>
      <c r="L11" s="74"/>
      <c r="M11" s="75"/>
      <c r="N11" s="74"/>
      <c r="O11" s="75"/>
      <c r="P11" s="74"/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5"/>
      <c r="AB11" s="76"/>
      <c r="AC11" s="77"/>
    </row>
    <row r="12" spans="1:29" ht="24.75" customHeight="1">
      <c r="A12" s="65" t="s">
        <v>49</v>
      </c>
      <c r="B12" s="66"/>
      <c r="C12" s="67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59"/>
      <c r="AB12" s="78"/>
      <c r="AC12" s="79"/>
    </row>
    <row r="13" spans="1:29" ht="24.75" customHeight="1">
      <c r="A13" s="89" t="s">
        <v>27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59"/>
      <c r="AB13" s="78"/>
      <c r="AC13" s="79"/>
    </row>
    <row r="14" spans="1:29" ht="24.75" customHeight="1" thickBot="1">
      <c r="A14" s="80" t="s">
        <v>50</v>
      </c>
      <c r="B14" s="81"/>
      <c r="C14" s="82"/>
      <c r="D14" s="83"/>
      <c r="E14" s="84"/>
      <c r="F14" s="83"/>
      <c r="G14" s="84"/>
      <c r="H14" s="83"/>
      <c r="I14" s="84"/>
      <c r="J14" s="83"/>
      <c r="K14" s="84"/>
      <c r="L14" s="83"/>
      <c r="M14" s="84"/>
      <c r="N14" s="83"/>
      <c r="O14" s="84"/>
      <c r="P14" s="83"/>
      <c r="Q14" s="84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86"/>
      <c r="AB14" s="87"/>
      <c r="AC14" s="88"/>
    </row>
    <row r="15" spans="1:29" ht="24.75" customHeight="1" thickTop="1">
      <c r="A15" s="91" t="s">
        <v>42</v>
      </c>
      <c r="B15" s="28"/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96"/>
      <c r="AC15" s="97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78"/>
      <c r="AC16" s="79"/>
    </row>
    <row r="17" spans="1:29" ht="24.75" customHeight="1">
      <c r="A17" s="92"/>
      <c r="B17" s="16" t="s">
        <v>102</v>
      </c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>
        <v>900</v>
      </c>
      <c r="S17" s="59"/>
      <c r="T17" s="58">
        <v>900</v>
      </c>
      <c r="U17" s="59"/>
      <c r="V17" s="58">
        <v>1050</v>
      </c>
      <c r="W17" s="59"/>
      <c r="X17" s="58">
        <v>1050</v>
      </c>
      <c r="Y17" s="59"/>
      <c r="Z17" s="58">
        <v>600</v>
      </c>
      <c r="AA17" s="59"/>
      <c r="AB17" s="78"/>
      <c r="AC17" s="79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>
        <v>3600</v>
      </c>
      <c r="U18" s="59"/>
      <c r="V18" s="58">
        <v>4200</v>
      </c>
      <c r="W18" s="59"/>
      <c r="X18" s="58">
        <v>4200</v>
      </c>
      <c r="Y18" s="59"/>
      <c r="Z18" s="58">
        <v>2400</v>
      </c>
      <c r="AA18" s="59"/>
      <c r="AB18" s="78"/>
      <c r="AC18" s="79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78"/>
      <c r="AC19" s="79"/>
    </row>
    <row r="20" spans="1:29" ht="24.75" customHeight="1" thickBot="1">
      <c r="A20" s="93"/>
      <c r="B20" s="52" t="s">
        <v>30</v>
      </c>
      <c r="C20" s="48"/>
      <c r="D20" s="85"/>
      <c r="E20" s="86"/>
      <c r="F20" s="85"/>
      <c r="G20" s="86"/>
      <c r="H20" s="85"/>
      <c r="I20" s="86"/>
      <c r="J20" s="85"/>
      <c r="K20" s="86"/>
      <c r="L20" s="85"/>
      <c r="M20" s="86"/>
      <c r="N20" s="85"/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87"/>
      <c r="AC20" s="88"/>
    </row>
    <row r="21" spans="1:29" ht="24.75" customHeight="1" thickTop="1">
      <c r="A21" s="71" t="s">
        <v>31</v>
      </c>
      <c r="B21" s="72"/>
      <c r="C21" s="73"/>
      <c r="D21" s="74">
        <f>INT(D7*D11+D9*D12)</f>
        <v>0</v>
      </c>
      <c r="E21" s="75"/>
      <c r="F21" s="74">
        <f>INT(F7*F11+F9*F12+F17)</f>
        <v>0</v>
      </c>
      <c r="G21" s="75"/>
      <c r="H21" s="74">
        <f t="shared" ref="H21" si="0">INT(H7*H11+H8*H13+H10*H12+H15+H16+H17+H18+H19+H20)</f>
        <v>0</v>
      </c>
      <c r="I21" s="75"/>
      <c r="J21" s="74">
        <f>INT(J7*J11+J9*J12+J17)</f>
        <v>0</v>
      </c>
      <c r="K21" s="75"/>
      <c r="L21" s="74">
        <f t="shared" ref="L21" si="1">INT(L7*L11+L8*L13+L10*L12+L15+L16+L17+L18+L19+L20)</f>
        <v>0</v>
      </c>
      <c r="M21" s="75"/>
      <c r="N21" s="74">
        <f t="shared" ref="N21" si="2">INT(N7*N11+N8*N13+N10*N12+N15+N16+N17+N18+N19+N20)</f>
        <v>0</v>
      </c>
      <c r="O21" s="75"/>
      <c r="P21" s="74">
        <f t="shared" ref="P21" si="3">INT(P7*P11+P8*P13+P10*P12+P15+P16+P17+P18+P19+P20)</f>
        <v>0</v>
      </c>
      <c r="Q21" s="75"/>
      <c r="R21" s="74">
        <f>INT(R7*R11+R8*R13+R9*R12+R15+R16+R17+R18+R19+R20+R10*R14)</f>
        <v>182400</v>
      </c>
      <c r="S21" s="75"/>
      <c r="T21" s="74">
        <f>INT(T7*T11+T8*T13+T9*T12+T15+T16+T17+T18+T19+T20)</f>
        <v>178500</v>
      </c>
      <c r="U21" s="75"/>
      <c r="V21" s="74">
        <f>INT(V7*V11+V8*V13+V9*V12+V10*V14+V15+V16+V17+V18+V19+V20)</f>
        <v>228120</v>
      </c>
      <c r="W21" s="75"/>
      <c r="X21" s="74">
        <f>INT(X7*X11+X8*X13+X9*X12+X10*X14+X15+X16+X17+X18+X19+X20)</f>
        <v>201812</v>
      </c>
      <c r="Y21" s="75"/>
      <c r="Z21" s="74">
        <f>INT(Z7*Z11+Z8*Z13+Z9*Z12+Z15+Z16+Z17+Z18+Z19+Z20)</f>
        <v>114000</v>
      </c>
      <c r="AA21" s="75"/>
      <c r="AB21" s="96"/>
      <c r="AC21" s="97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03"/>
      <c r="AC22" s="104"/>
    </row>
    <row r="23" spans="1:29" ht="24.75" customHeight="1" thickBot="1">
      <c r="A23" s="117" t="s">
        <v>20</v>
      </c>
      <c r="B23" s="118"/>
      <c r="C23" s="119"/>
      <c r="D23" s="105">
        <f>D21+D22</f>
        <v>0</v>
      </c>
      <c r="E23" s="106"/>
      <c r="F23" s="105">
        <f t="shared" ref="F23" si="4">F21+F22</f>
        <v>0</v>
      </c>
      <c r="G23" s="106"/>
      <c r="H23" s="105">
        <f t="shared" ref="H23" si="5">H21+H22</f>
        <v>0</v>
      </c>
      <c r="I23" s="106"/>
      <c r="J23" s="105">
        <f t="shared" ref="J23" si="6">J21+J22</f>
        <v>0</v>
      </c>
      <c r="K23" s="106"/>
      <c r="L23" s="105">
        <f t="shared" ref="L23" si="7">L21+L22</f>
        <v>0</v>
      </c>
      <c r="M23" s="106"/>
      <c r="N23" s="105">
        <f t="shared" ref="N23" si="8">N21+N22</f>
        <v>0</v>
      </c>
      <c r="O23" s="106"/>
      <c r="P23" s="105">
        <f t="shared" ref="P23" si="9">P21+P22</f>
        <v>0</v>
      </c>
      <c r="Q23" s="106"/>
      <c r="R23" s="105">
        <f t="shared" ref="R23" si="10">R21+R22</f>
        <v>182400</v>
      </c>
      <c r="S23" s="106"/>
      <c r="T23" s="105">
        <f t="shared" ref="T23" si="11">T21+T22</f>
        <v>178500</v>
      </c>
      <c r="U23" s="106"/>
      <c r="V23" s="105">
        <f t="shared" ref="V23" si="12">V21+V22</f>
        <v>228120</v>
      </c>
      <c r="W23" s="106"/>
      <c r="X23" s="105">
        <f t="shared" ref="X23" si="13">X21+X22</f>
        <v>201812</v>
      </c>
      <c r="Y23" s="106"/>
      <c r="Z23" s="105">
        <f t="shared" ref="Z23" si="14">Z21+Z22</f>
        <v>114000</v>
      </c>
      <c r="AA23" s="106"/>
      <c r="AB23" s="107"/>
      <c r="AC23" s="108"/>
    </row>
    <row r="24" spans="1:29" ht="24.75" customHeight="1">
      <c r="A24" s="109" t="s">
        <v>33</v>
      </c>
      <c r="B24" s="113" t="s">
        <v>34</v>
      </c>
      <c r="C24" s="114"/>
      <c r="D24" s="115"/>
      <c r="E24" s="116"/>
      <c r="F24" s="115"/>
      <c r="G24" s="116"/>
      <c r="H24" s="115"/>
      <c r="I24" s="116"/>
      <c r="J24" s="115"/>
      <c r="K24" s="116"/>
      <c r="L24" s="115"/>
      <c r="M24" s="116"/>
      <c r="N24" s="115"/>
      <c r="O24" s="116"/>
      <c r="P24" s="115"/>
      <c r="Q24" s="116"/>
      <c r="R24" s="115">
        <v>0</v>
      </c>
      <c r="S24" s="116"/>
      <c r="T24" s="115">
        <v>0</v>
      </c>
      <c r="U24" s="116"/>
      <c r="V24" s="115">
        <v>684</v>
      </c>
      <c r="W24" s="116"/>
      <c r="X24" s="115">
        <f t="shared" ref="X24" si="15">X23*0.003</f>
        <v>605.43600000000004</v>
      </c>
      <c r="Y24" s="116"/>
      <c r="Z24" s="115">
        <f t="shared" ref="Z24" si="16">Z23*0.003</f>
        <v>342</v>
      </c>
      <c r="AA24" s="116"/>
      <c r="AB24" s="120"/>
      <c r="AC24" s="121"/>
    </row>
    <row r="25" spans="1:29" ht="24.75" customHeight="1">
      <c r="A25" s="110"/>
      <c r="B25" s="94" t="s">
        <v>35</v>
      </c>
      <c r="C25" s="95"/>
      <c r="D25" s="58"/>
      <c r="E25" s="59"/>
      <c r="F25" s="58"/>
      <c r="G25" s="59"/>
      <c r="H25" s="58"/>
      <c r="I25" s="59"/>
      <c r="J25" s="58"/>
      <c r="K25" s="59"/>
      <c r="L25" s="58"/>
      <c r="M25" s="59"/>
      <c r="N25" s="58"/>
      <c r="O25" s="59"/>
      <c r="P25" s="58"/>
      <c r="Q25" s="59"/>
      <c r="R25" s="58">
        <v>4720</v>
      </c>
      <c r="S25" s="59"/>
      <c r="T25" s="58">
        <v>3980</v>
      </c>
      <c r="U25" s="59"/>
      <c r="V25" s="58">
        <v>5780</v>
      </c>
      <c r="W25" s="59"/>
      <c r="X25" s="58">
        <v>4910</v>
      </c>
      <c r="Y25" s="59"/>
      <c r="Z25" s="58">
        <v>1850</v>
      </c>
      <c r="AA25" s="59"/>
      <c r="AB25" s="78"/>
      <c r="AC25" s="79"/>
    </row>
    <row r="26" spans="1:29" ht="24.75" customHeight="1">
      <c r="A26" s="110"/>
      <c r="B26" s="94" t="s">
        <v>47</v>
      </c>
      <c r="C26" s="95"/>
      <c r="D26" s="58"/>
      <c r="E26" s="59"/>
      <c r="F26" s="58"/>
      <c r="G26" s="59"/>
      <c r="H26" s="58"/>
      <c r="I26" s="59"/>
      <c r="J26" s="58"/>
      <c r="K26" s="59"/>
      <c r="L26" s="58"/>
      <c r="M26" s="59"/>
      <c r="N26" s="58"/>
      <c r="O26" s="59"/>
      <c r="P26" s="58"/>
      <c r="Q26" s="59"/>
      <c r="R26" s="58">
        <v>0</v>
      </c>
      <c r="S26" s="59"/>
      <c r="T26" s="58">
        <v>0</v>
      </c>
      <c r="U26" s="59"/>
      <c r="V26" s="58">
        <v>0</v>
      </c>
      <c r="W26" s="59"/>
      <c r="X26" s="58">
        <v>0</v>
      </c>
      <c r="Y26" s="59"/>
      <c r="Z26" s="58">
        <v>0</v>
      </c>
      <c r="AA26" s="59"/>
      <c r="AB26" s="78"/>
      <c r="AC26" s="79"/>
    </row>
    <row r="27" spans="1:29" ht="24.75" customHeight="1">
      <c r="A27" s="111"/>
      <c r="B27" s="94" t="s">
        <v>48</v>
      </c>
      <c r="C27" s="95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  <c r="R27" s="58">
        <v>0</v>
      </c>
      <c r="S27" s="59"/>
      <c r="T27" s="58">
        <v>0</v>
      </c>
      <c r="U27" s="59"/>
      <c r="V27" s="58">
        <v>0</v>
      </c>
      <c r="W27" s="59"/>
      <c r="X27" s="58">
        <v>0</v>
      </c>
      <c r="Y27" s="59"/>
      <c r="Z27" s="58">
        <v>0</v>
      </c>
      <c r="AA27" s="59"/>
      <c r="AB27" s="96"/>
      <c r="AC27" s="97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/>
      <c r="M28" s="102"/>
      <c r="N28" s="101"/>
      <c r="O28" s="102"/>
      <c r="P28" s="101"/>
      <c r="Q28" s="102"/>
      <c r="R28" s="101">
        <v>0</v>
      </c>
      <c r="S28" s="102"/>
      <c r="T28" s="101">
        <v>0</v>
      </c>
      <c r="U28" s="102"/>
      <c r="V28" s="101">
        <v>0</v>
      </c>
      <c r="W28" s="102"/>
      <c r="X28" s="101">
        <v>0</v>
      </c>
      <c r="Y28" s="102"/>
      <c r="Z28" s="101">
        <v>0</v>
      </c>
      <c r="AA28" s="102"/>
      <c r="AB28" s="122"/>
      <c r="AC28" s="123"/>
    </row>
    <row r="29" spans="1:29" ht="24.75" customHeight="1" thickBot="1">
      <c r="A29" s="71" t="s">
        <v>36</v>
      </c>
      <c r="B29" s="72"/>
      <c r="C29" s="73"/>
      <c r="D29" s="83">
        <f>SUM(D24:D28)</f>
        <v>0</v>
      </c>
      <c r="E29" s="84"/>
      <c r="F29" s="83">
        <f t="shared" ref="F29" si="17">SUM(F24:F28)</f>
        <v>0</v>
      </c>
      <c r="G29" s="84"/>
      <c r="H29" s="83">
        <f t="shared" ref="H29" si="18">SUM(H24:H28)</f>
        <v>0</v>
      </c>
      <c r="I29" s="84"/>
      <c r="J29" s="83">
        <f t="shared" ref="J29" si="19">SUM(J24:J28)</f>
        <v>0</v>
      </c>
      <c r="K29" s="84"/>
      <c r="L29" s="83">
        <f t="shared" ref="L29" si="20">SUM(L24:L28)</f>
        <v>0</v>
      </c>
      <c r="M29" s="84"/>
      <c r="N29" s="83">
        <f t="shared" ref="N29" si="21">SUM(N24:N28)</f>
        <v>0</v>
      </c>
      <c r="O29" s="84"/>
      <c r="P29" s="83">
        <f t="shared" ref="P29" si="22">SUM(P24:P28)</f>
        <v>0</v>
      </c>
      <c r="Q29" s="84"/>
      <c r="R29" s="83">
        <f t="shared" ref="R29" si="23">SUM(R24:R28)</f>
        <v>4720</v>
      </c>
      <c r="S29" s="84"/>
      <c r="T29" s="83">
        <f t="shared" ref="T29" si="24">SUM(T24:T28)</f>
        <v>3980</v>
      </c>
      <c r="U29" s="84"/>
      <c r="V29" s="83">
        <f t="shared" ref="V29" si="25">SUM(V24:V28)</f>
        <v>6464</v>
      </c>
      <c r="W29" s="84"/>
      <c r="X29" s="83">
        <f t="shared" ref="X29" si="26">SUM(X24:X28)</f>
        <v>5515.4359999999997</v>
      </c>
      <c r="Y29" s="84"/>
      <c r="Z29" s="83">
        <f t="shared" ref="Z29" si="27">SUM(Z24:Z28)</f>
        <v>2192</v>
      </c>
      <c r="AA29" s="131"/>
      <c r="AB29" s="96">
        <f t="shared" ref="AB29" si="28">SUM(AB24:AB28)</f>
        <v>0</v>
      </c>
      <c r="AC29" s="97"/>
    </row>
    <row r="30" spans="1:29" ht="24.75" customHeight="1" thickTop="1" thickBot="1">
      <c r="A30" s="132" t="s">
        <v>37</v>
      </c>
      <c r="B30" s="133"/>
      <c r="C30" s="134"/>
      <c r="D30" s="126">
        <f>D23-D29</f>
        <v>0</v>
      </c>
      <c r="E30" s="127"/>
      <c r="F30" s="126">
        <f>F23-F29</f>
        <v>0</v>
      </c>
      <c r="G30" s="127"/>
      <c r="H30" s="126">
        <f>H23-H29</f>
        <v>0</v>
      </c>
      <c r="I30" s="127"/>
      <c r="J30" s="126">
        <f>J23-J29</f>
        <v>0</v>
      </c>
      <c r="K30" s="127"/>
      <c r="L30" s="126">
        <f>L23-L29</f>
        <v>0</v>
      </c>
      <c r="M30" s="127"/>
      <c r="N30" s="126">
        <f>N23-N29</f>
        <v>0</v>
      </c>
      <c r="O30" s="127"/>
      <c r="P30" s="126">
        <f>P23-P29</f>
        <v>0</v>
      </c>
      <c r="Q30" s="127"/>
      <c r="R30" s="126">
        <f>R23-R29</f>
        <v>177680</v>
      </c>
      <c r="S30" s="127"/>
      <c r="T30" s="126">
        <f>T23-T29</f>
        <v>174520</v>
      </c>
      <c r="U30" s="127"/>
      <c r="V30" s="126">
        <f>V23-V29</f>
        <v>221656</v>
      </c>
      <c r="W30" s="127"/>
      <c r="X30" s="126">
        <f>X21-X29</f>
        <v>196296.56400000001</v>
      </c>
      <c r="Y30" s="127"/>
      <c r="Z30" s="126">
        <f>Z23-Z29</f>
        <v>111808</v>
      </c>
      <c r="AA30" s="128"/>
      <c r="AB30" s="129">
        <f>D30+F30+H30+J30+L30+N30</f>
        <v>0</v>
      </c>
      <c r="AC30" s="130"/>
    </row>
  </sheetData>
  <mergeCells count="308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77ED3-E4A0-4301-A3E0-B1A8C39C9C1D}">
  <sheetPr>
    <tabColor theme="5"/>
  </sheetPr>
  <dimension ref="A1:AC30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37" t="s">
        <v>130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101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176" t="s">
        <v>20</v>
      </c>
      <c r="AC6" s="177"/>
    </row>
    <row r="7" spans="1:29" ht="24.75" customHeight="1">
      <c r="A7" s="65" t="s">
        <v>40</v>
      </c>
      <c r="B7" s="66"/>
      <c r="C7" s="67"/>
      <c r="D7" s="3">
        <v>4</v>
      </c>
      <c r="E7" s="4" t="s">
        <v>21</v>
      </c>
      <c r="F7" s="3">
        <v>12</v>
      </c>
      <c r="G7" s="4" t="s">
        <v>21</v>
      </c>
      <c r="H7" s="3">
        <v>11</v>
      </c>
      <c r="I7" s="4" t="s">
        <v>21</v>
      </c>
      <c r="J7" s="3">
        <v>18</v>
      </c>
      <c r="K7" s="4" t="s">
        <v>21</v>
      </c>
      <c r="L7" s="3">
        <v>7</v>
      </c>
      <c r="M7" s="4" t="s">
        <v>21</v>
      </c>
      <c r="N7" s="3">
        <v>14</v>
      </c>
      <c r="O7" s="4" t="s">
        <v>21</v>
      </c>
      <c r="P7" s="3">
        <v>18</v>
      </c>
      <c r="Q7" s="4" t="s">
        <v>21</v>
      </c>
      <c r="R7" s="3">
        <v>18</v>
      </c>
      <c r="S7" s="4" t="s">
        <v>21</v>
      </c>
      <c r="T7" s="3">
        <v>17</v>
      </c>
      <c r="U7" s="4" t="s">
        <v>21</v>
      </c>
      <c r="V7" s="3">
        <v>15</v>
      </c>
      <c r="W7" s="4" t="s">
        <v>21</v>
      </c>
      <c r="X7" s="3">
        <v>16</v>
      </c>
      <c r="Y7" s="4" t="s">
        <v>21</v>
      </c>
      <c r="Z7" s="3">
        <v>18</v>
      </c>
      <c r="AA7" s="4" t="s">
        <v>21</v>
      </c>
      <c r="AB7" s="30"/>
      <c r="AC7" s="31" t="s">
        <v>21</v>
      </c>
    </row>
    <row r="8" spans="1:29" ht="24.75" customHeight="1">
      <c r="A8" s="65" t="s">
        <v>41</v>
      </c>
      <c r="B8" s="66"/>
      <c r="C8" s="67"/>
      <c r="D8" s="3">
        <v>8</v>
      </c>
      <c r="E8" s="4" t="s">
        <v>21</v>
      </c>
      <c r="F8" s="3"/>
      <c r="G8" s="4" t="s">
        <v>21</v>
      </c>
      <c r="H8" s="3">
        <v>1</v>
      </c>
      <c r="I8" s="4" t="s">
        <v>21</v>
      </c>
      <c r="J8" s="3"/>
      <c r="K8" s="4" t="s">
        <v>21</v>
      </c>
      <c r="L8" s="3">
        <v>3</v>
      </c>
      <c r="M8" s="4" t="s">
        <v>21</v>
      </c>
      <c r="N8" s="3"/>
      <c r="O8" s="4" t="s">
        <v>21</v>
      </c>
      <c r="P8" s="3">
        <v>2</v>
      </c>
      <c r="Q8" s="4" t="s">
        <v>21</v>
      </c>
      <c r="R8" s="3">
        <v>2</v>
      </c>
      <c r="S8" s="4" t="s">
        <v>21</v>
      </c>
      <c r="T8" s="3">
        <v>1</v>
      </c>
      <c r="U8" s="4" t="s">
        <v>21</v>
      </c>
      <c r="V8" s="3"/>
      <c r="W8" s="4" t="s">
        <v>21</v>
      </c>
      <c r="X8" s="3">
        <v>3</v>
      </c>
      <c r="Y8" s="4" t="s">
        <v>21</v>
      </c>
      <c r="Z8" s="3">
        <v>1</v>
      </c>
      <c r="AA8" s="4" t="s">
        <v>21</v>
      </c>
      <c r="AB8" s="30"/>
      <c r="AC8" s="31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9</v>
      </c>
      <c r="S9" s="4" t="s">
        <v>22</v>
      </c>
      <c r="T9" s="3">
        <v>30</v>
      </c>
      <c r="U9" s="4" t="s">
        <v>22</v>
      </c>
      <c r="V9" s="3"/>
      <c r="W9" s="4" t="s">
        <v>22</v>
      </c>
      <c r="X9" s="3"/>
      <c r="Y9" s="4" t="s">
        <v>22</v>
      </c>
      <c r="Z9" s="3">
        <v>1</v>
      </c>
      <c r="AA9" s="4" t="s">
        <v>22</v>
      </c>
      <c r="AB9" s="30"/>
      <c r="AC9" s="31" t="s">
        <v>22</v>
      </c>
    </row>
    <row r="10" spans="1:29" ht="24.75" customHeight="1" thickBot="1">
      <c r="A10" s="80" t="s">
        <v>69</v>
      </c>
      <c r="B10" s="81"/>
      <c r="C10" s="82"/>
      <c r="D10" s="3">
        <v>24</v>
      </c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3</v>
      </c>
      <c r="S10" s="4" t="s">
        <v>22</v>
      </c>
      <c r="T10" s="3">
        <v>3</v>
      </c>
      <c r="U10" s="4" t="s">
        <v>22</v>
      </c>
      <c r="V10" s="3"/>
      <c r="W10" s="4" t="s">
        <v>22</v>
      </c>
      <c r="X10" s="3">
        <v>1.5</v>
      </c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71" t="s">
        <v>26</v>
      </c>
      <c r="B11" s="72"/>
      <c r="C11" s="73"/>
      <c r="D11" s="74">
        <v>8000</v>
      </c>
      <c r="E11" s="75"/>
      <c r="F11" s="74">
        <v>8000</v>
      </c>
      <c r="G11" s="75"/>
      <c r="H11" s="74">
        <v>8000</v>
      </c>
      <c r="I11" s="75"/>
      <c r="J11" s="74">
        <v>8000</v>
      </c>
      <c r="K11" s="75"/>
      <c r="L11" s="74">
        <v>8000</v>
      </c>
      <c r="M11" s="75"/>
      <c r="N11" s="74">
        <v>8000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7"/>
      <c r="AB11" s="135"/>
      <c r="AC11" s="136"/>
    </row>
    <row r="12" spans="1:29" ht="24.75" customHeight="1">
      <c r="A12" s="65" t="s">
        <v>49</v>
      </c>
      <c r="B12" s="66"/>
      <c r="C12" s="67"/>
      <c r="D12" s="58">
        <v>1250</v>
      </c>
      <c r="E12" s="59"/>
      <c r="F12" s="58">
        <v>1250</v>
      </c>
      <c r="G12" s="59"/>
      <c r="H12" s="58">
        <v>1250</v>
      </c>
      <c r="I12" s="59"/>
      <c r="J12" s="58">
        <v>1250</v>
      </c>
      <c r="K12" s="59"/>
      <c r="L12" s="58">
        <v>1250</v>
      </c>
      <c r="M12" s="59"/>
      <c r="N12" s="58">
        <v>1250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79"/>
      <c r="AB12" s="137"/>
      <c r="AC12" s="138"/>
    </row>
    <row r="13" spans="1:29" ht="24.75" customHeight="1">
      <c r="A13" s="89" t="s">
        <v>27</v>
      </c>
      <c r="B13" s="90"/>
      <c r="C13" s="66"/>
      <c r="D13" s="58">
        <v>10000</v>
      </c>
      <c r="E13" s="59"/>
      <c r="F13" s="58">
        <v>10000</v>
      </c>
      <c r="G13" s="59"/>
      <c r="H13" s="58">
        <v>10000</v>
      </c>
      <c r="I13" s="59"/>
      <c r="J13" s="58">
        <v>10000</v>
      </c>
      <c r="K13" s="59"/>
      <c r="L13" s="58">
        <v>10000</v>
      </c>
      <c r="M13" s="59"/>
      <c r="N13" s="58">
        <v>10000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79"/>
      <c r="AB13" s="137"/>
      <c r="AC13" s="138"/>
    </row>
    <row r="14" spans="1:29" ht="24.75" customHeight="1" thickBot="1">
      <c r="A14" s="80" t="s">
        <v>50</v>
      </c>
      <c r="B14" s="81"/>
      <c r="C14" s="82"/>
      <c r="D14" s="85">
        <v>1562</v>
      </c>
      <c r="E14" s="86"/>
      <c r="F14" s="85">
        <v>1562</v>
      </c>
      <c r="G14" s="86"/>
      <c r="H14" s="85">
        <v>1562</v>
      </c>
      <c r="I14" s="86"/>
      <c r="J14" s="85">
        <v>1562</v>
      </c>
      <c r="K14" s="86"/>
      <c r="L14" s="85">
        <v>1562</v>
      </c>
      <c r="M14" s="86"/>
      <c r="N14" s="85">
        <v>1562</v>
      </c>
      <c r="O14" s="86"/>
      <c r="P14" s="85">
        <v>1562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88"/>
      <c r="AB14" s="139"/>
      <c r="AC14" s="140"/>
    </row>
    <row r="15" spans="1:29" ht="24.75" customHeight="1" thickTop="1">
      <c r="A15" s="91" t="s">
        <v>42</v>
      </c>
      <c r="B15" s="20" t="s">
        <v>102</v>
      </c>
      <c r="C15" s="22" t="s">
        <v>43</v>
      </c>
      <c r="D15" s="74">
        <v>5500</v>
      </c>
      <c r="E15" s="75"/>
      <c r="F15" s="74">
        <v>6000</v>
      </c>
      <c r="G15" s="75"/>
      <c r="H15" s="74">
        <v>6000</v>
      </c>
      <c r="I15" s="75"/>
      <c r="J15" s="74">
        <v>9000</v>
      </c>
      <c r="K15" s="75"/>
      <c r="L15" s="74">
        <v>4500</v>
      </c>
      <c r="M15" s="75"/>
      <c r="N15" s="74">
        <v>7000</v>
      </c>
      <c r="O15" s="75"/>
      <c r="P15" s="74">
        <v>14000</v>
      </c>
      <c r="Q15" s="75"/>
      <c r="R15" s="74">
        <v>14000</v>
      </c>
      <c r="S15" s="75"/>
      <c r="T15" s="74">
        <v>12700</v>
      </c>
      <c r="U15" s="75"/>
      <c r="V15" s="74">
        <v>10500</v>
      </c>
      <c r="W15" s="75"/>
      <c r="X15" s="74">
        <v>13300</v>
      </c>
      <c r="Y15" s="75"/>
      <c r="Z15" s="74">
        <v>13300</v>
      </c>
      <c r="AA15" s="75"/>
      <c r="AB15" s="135"/>
      <c r="AC15" s="136"/>
    </row>
    <row r="16" spans="1:29" ht="24.75" customHeight="1">
      <c r="A16" s="92"/>
      <c r="B16" s="18"/>
      <c r="C16" s="19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37"/>
      <c r="AC16" s="138"/>
    </row>
    <row r="17" spans="1:29" ht="24.75" customHeight="1">
      <c r="A17" s="92"/>
      <c r="B17" s="18"/>
      <c r="C17" s="19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37"/>
      <c r="AC17" s="138"/>
    </row>
    <row r="18" spans="1:29" ht="24.75" customHeight="1">
      <c r="A18" s="92"/>
      <c r="B18" s="94" t="s">
        <v>28</v>
      </c>
      <c r="C18" s="95"/>
      <c r="D18" s="58">
        <v>2700</v>
      </c>
      <c r="E18" s="59"/>
      <c r="F18" s="58">
        <v>1995</v>
      </c>
      <c r="G18" s="59"/>
      <c r="H18" s="58">
        <v>2220</v>
      </c>
      <c r="I18" s="59"/>
      <c r="J18" s="58">
        <v>2295</v>
      </c>
      <c r="K18" s="59"/>
      <c r="L18" s="58">
        <v>1520</v>
      </c>
      <c r="M18" s="59"/>
      <c r="N18" s="58">
        <v>4320</v>
      </c>
      <c r="O18" s="59"/>
      <c r="P18" s="58">
        <v>4992</v>
      </c>
      <c r="Q18" s="59"/>
      <c r="R18" s="58">
        <v>5440</v>
      </c>
      <c r="S18" s="59"/>
      <c r="T18" s="58">
        <v>7312</v>
      </c>
      <c r="U18" s="59"/>
      <c r="V18" s="58">
        <v>2624</v>
      </c>
      <c r="W18" s="59"/>
      <c r="X18" s="58">
        <v>3656</v>
      </c>
      <c r="Y18" s="59"/>
      <c r="Z18" s="58">
        <v>2832</v>
      </c>
      <c r="AA18" s="59"/>
      <c r="AB18" s="137"/>
      <c r="AC18" s="138"/>
    </row>
    <row r="19" spans="1:29" ht="24.75" customHeight="1">
      <c r="A19" s="92"/>
      <c r="B19" s="94" t="s">
        <v>29</v>
      </c>
      <c r="C19" s="95"/>
      <c r="D19" s="58">
        <v>0</v>
      </c>
      <c r="E19" s="59"/>
      <c r="F19" s="58">
        <v>0</v>
      </c>
      <c r="G19" s="59"/>
      <c r="H19" s="58">
        <v>0</v>
      </c>
      <c r="I19" s="59"/>
      <c r="J19" s="58">
        <v>0</v>
      </c>
      <c r="K19" s="59"/>
      <c r="L19" s="58">
        <v>0</v>
      </c>
      <c r="M19" s="59"/>
      <c r="N19" s="58"/>
      <c r="O19" s="59"/>
      <c r="P19" s="58">
        <v>900</v>
      </c>
      <c r="Q19" s="59"/>
      <c r="R19" s="58">
        <v>4950</v>
      </c>
      <c r="S19" s="59"/>
      <c r="T19" s="58">
        <v>1350</v>
      </c>
      <c r="U19" s="59"/>
      <c r="V19" s="58">
        <v>1350</v>
      </c>
      <c r="W19" s="59"/>
      <c r="X19" s="58">
        <v>3600</v>
      </c>
      <c r="Y19" s="59"/>
      <c r="Z19" s="58">
        <v>3150</v>
      </c>
      <c r="AA19" s="59"/>
      <c r="AB19" s="137"/>
      <c r="AC19" s="138"/>
    </row>
    <row r="20" spans="1:29" ht="24.75" customHeight="1" thickBot="1">
      <c r="A20" s="93"/>
      <c r="B20" s="52" t="s">
        <v>30</v>
      </c>
      <c r="C20" s="48"/>
      <c r="D20" s="85">
        <v>20000</v>
      </c>
      <c r="E20" s="86"/>
      <c r="F20" s="85">
        <v>2000</v>
      </c>
      <c r="G20" s="86"/>
      <c r="H20" s="85">
        <v>2000</v>
      </c>
      <c r="I20" s="86"/>
      <c r="J20" s="85"/>
      <c r="K20" s="86"/>
      <c r="L20" s="85">
        <v>14000</v>
      </c>
      <c r="M20" s="86"/>
      <c r="N20" s="85">
        <v>3400</v>
      </c>
      <c r="O20" s="86"/>
      <c r="P20" s="85">
        <v>4000</v>
      </c>
      <c r="Q20" s="86"/>
      <c r="R20" s="85"/>
      <c r="S20" s="86"/>
      <c r="T20" s="85">
        <v>20000</v>
      </c>
      <c r="U20" s="86"/>
      <c r="V20" s="85"/>
      <c r="W20" s="86"/>
      <c r="X20" s="85"/>
      <c r="Y20" s="86"/>
      <c r="Z20" s="85"/>
      <c r="AA20" s="86"/>
      <c r="AB20" s="139"/>
      <c r="AC20" s="140"/>
    </row>
    <row r="21" spans="1:29" ht="24.75" customHeight="1" thickTop="1">
      <c r="A21" s="71" t="s">
        <v>31</v>
      </c>
      <c r="B21" s="72"/>
      <c r="C21" s="73"/>
      <c r="D21" s="74">
        <f>INT(D7*D11+D8*D13+D10*D14+D15+D16+D17+D18+D19+D20+D9*D12)</f>
        <v>177688</v>
      </c>
      <c r="E21" s="75"/>
      <c r="F21" s="74">
        <f>INT(F7*F11+F8*F13+F10*F12+F15+F16+F17+F18+F19+F9*F12+F20)</f>
        <v>105995</v>
      </c>
      <c r="G21" s="75"/>
      <c r="H21" s="74">
        <f>INT(H7*H11+H8*H13+H10*H12+H15+H16+H17+H18+H19+H20+H9*H12)</f>
        <v>108220</v>
      </c>
      <c r="I21" s="75"/>
      <c r="J21" s="74">
        <f t="shared" ref="J21" si="0">INT(J7*J11+J8*J13+J10*J12+J15+J16+J17+J18+J19+J20)</f>
        <v>155295</v>
      </c>
      <c r="K21" s="75"/>
      <c r="L21" s="74">
        <f t="shared" ref="L21" si="1">INT(L7*L11+L8*L13+L10*L12+L15+L16+L17+L18+L19+L20)</f>
        <v>106020</v>
      </c>
      <c r="M21" s="75"/>
      <c r="N21" s="74">
        <f t="shared" ref="N21" si="2">INT(N7*N11+N8*N13+N10*N12+N15+N16+N17+N18+N19+N20)</f>
        <v>126720</v>
      </c>
      <c r="O21" s="75"/>
      <c r="P21" s="74">
        <f t="shared" ref="P21" si="3">INT(P7*P11+P8*P13+P10*P12+P15+P16+P17+P18+P19+P20)</f>
        <v>187892</v>
      </c>
      <c r="Q21" s="75"/>
      <c r="R21" s="74">
        <f>INT(R7*R11+R8*R13+R9*R12+R15+R16+R17+R18+R19+R20+R10*R14)</f>
        <v>204326</v>
      </c>
      <c r="S21" s="75"/>
      <c r="T21" s="74">
        <f>INT(T7*T11+T8*T13+T9*T12+T15+T16+T17+T18+T19+T20+T10*T14)</f>
        <v>229548</v>
      </c>
      <c r="U21" s="75"/>
      <c r="V21" s="74">
        <f>INT(V7*V11+V8*V13+V9*V12+V15+V16+V17+V18+V19+V20)</f>
        <v>134474</v>
      </c>
      <c r="W21" s="75"/>
      <c r="X21" s="74">
        <f>INT(X7*X11+X8*X13+X9*X12+X15+X16+X17+X18+X19+X20+X10*X14)</f>
        <v>180899</v>
      </c>
      <c r="Y21" s="75"/>
      <c r="Z21" s="74">
        <f>INT(Z7*Z11+Z8*Z13+Z9*Z12+Z15+Z16+Z17+Z18+Z19+Z20)</f>
        <v>174532</v>
      </c>
      <c r="AA21" s="75"/>
      <c r="AB21" s="141">
        <f>D21+F21+H21+J21+L21+N21</f>
        <v>779938</v>
      </c>
      <c r="AC21" s="142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>
        <v>30000</v>
      </c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45"/>
      <c r="AC22" s="146"/>
    </row>
    <row r="23" spans="1:29" ht="24.75" customHeight="1" thickBot="1">
      <c r="A23" s="117" t="s">
        <v>20</v>
      </c>
      <c r="B23" s="118"/>
      <c r="C23" s="119"/>
      <c r="D23" s="105">
        <f>D21</f>
        <v>177688</v>
      </c>
      <c r="E23" s="106"/>
      <c r="F23" s="105">
        <f t="shared" ref="F23" si="4">F21+F22</f>
        <v>105995</v>
      </c>
      <c r="G23" s="106"/>
      <c r="H23" s="105">
        <f t="shared" ref="H23" si="5">H21+H22</f>
        <v>108220</v>
      </c>
      <c r="I23" s="106"/>
      <c r="J23" s="105">
        <f t="shared" ref="J23" si="6">J21+J22</f>
        <v>155295</v>
      </c>
      <c r="K23" s="106"/>
      <c r="L23" s="105">
        <f t="shared" ref="L23" si="7">L21+L22</f>
        <v>136020</v>
      </c>
      <c r="M23" s="106"/>
      <c r="N23" s="105">
        <f t="shared" ref="N23" si="8">N21+N22</f>
        <v>126720</v>
      </c>
      <c r="O23" s="106"/>
      <c r="P23" s="105">
        <f t="shared" ref="P23" si="9">P21+P22</f>
        <v>187892</v>
      </c>
      <c r="Q23" s="106"/>
      <c r="R23" s="105">
        <f t="shared" ref="R23" si="10">R21+R22</f>
        <v>204326</v>
      </c>
      <c r="S23" s="106"/>
      <c r="T23" s="105">
        <f t="shared" ref="T23" si="11">T21+T22</f>
        <v>229548</v>
      </c>
      <c r="U23" s="106"/>
      <c r="V23" s="105">
        <f t="shared" ref="V23" si="12">V21+V22</f>
        <v>134474</v>
      </c>
      <c r="W23" s="106"/>
      <c r="X23" s="105">
        <f t="shared" ref="X23" si="13">X21+X22</f>
        <v>180899</v>
      </c>
      <c r="Y23" s="106"/>
      <c r="Z23" s="105">
        <f t="shared" ref="Z23" si="14">Z21+Z22</f>
        <v>174532</v>
      </c>
      <c r="AA23" s="106"/>
      <c r="AB23" s="147">
        <f>D23+F23+H23+J23+L23+N23</f>
        <v>809938</v>
      </c>
      <c r="AC23" s="148"/>
    </row>
    <row r="24" spans="1:29" ht="24.75" customHeight="1">
      <c r="A24" s="109" t="s">
        <v>33</v>
      </c>
      <c r="B24" s="113" t="s">
        <v>34</v>
      </c>
      <c r="C24" s="114"/>
      <c r="D24" s="115">
        <f>D23*0.003</f>
        <v>533.06399999999996</v>
      </c>
      <c r="E24" s="116"/>
      <c r="F24" s="115">
        <f t="shared" ref="F24" si="15">F23*0.003</f>
        <v>317.98500000000001</v>
      </c>
      <c r="G24" s="116"/>
      <c r="H24" s="115">
        <f t="shared" ref="H24" si="16">H23*0.003</f>
        <v>324.66000000000003</v>
      </c>
      <c r="I24" s="116"/>
      <c r="J24" s="115">
        <f>J23*0.003</f>
        <v>465.88499999999999</v>
      </c>
      <c r="K24" s="116"/>
      <c r="L24" s="115">
        <f t="shared" ref="L24" si="17">L23*0.003</f>
        <v>408.06</v>
      </c>
      <c r="M24" s="116"/>
      <c r="N24" s="115">
        <f t="shared" ref="N24" si="18">N23*0.003</f>
        <v>380.16</v>
      </c>
      <c r="O24" s="116"/>
      <c r="P24" s="115">
        <f t="shared" ref="P24" si="19">P23*0.003</f>
        <v>563.67600000000004</v>
      </c>
      <c r="Q24" s="116"/>
      <c r="R24" s="115">
        <f t="shared" ref="R24" si="20">R23*0.003</f>
        <v>612.97800000000007</v>
      </c>
      <c r="S24" s="116"/>
      <c r="T24" s="115">
        <f t="shared" ref="T24" si="21">T23*0.003</f>
        <v>688.64400000000001</v>
      </c>
      <c r="U24" s="116"/>
      <c r="V24" s="115">
        <f t="shared" ref="V24" si="22">V23*0.003</f>
        <v>403.42200000000003</v>
      </c>
      <c r="W24" s="116"/>
      <c r="X24" s="115">
        <f t="shared" ref="X24" si="23">X23*0.003</f>
        <v>542.697</v>
      </c>
      <c r="Y24" s="116"/>
      <c r="Z24" s="115">
        <f t="shared" ref="Z24" si="24">Z23*0.003</f>
        <v>523.596</v>
      </c>
      <c r="AA24" s="116"/>
      <c r="AB24" s="150"/>
      <c r="AC24" s="151"/>
    </row>
    <row r="25" spans="1:29" ht="24.75" customHeight="1">
      <c r="A25" s="110"/>
      <c r="B25" s="94" t="s">
        <v>35</v>
      </c>
      <c r="C25" s="95"/>
      <c r="D25" s="58">
        <v>1500</v>
      </c>
      <c r="E25" s="59"/>
      <c r="F25" s="58">
        <v>1200</v>
      </c>
      <c r="G25" s="59"/>
      <c r="H25" s="58">
        <v>1240</v>
      </c>
      <c r="I25" s="59"/>
      <c r="J25" s="58">
        <v>3270</v>
      </c>
      <c r="K25" s="59"/>
      <c r="L25" s="58">
        <v>2680</v>
      </c>
      <c r="M25" s="59"/>
      <c r="N25" s="58">
        <v>2250</v>
      </c>
      <c r="O25" s="59"/>
      <c r="P25" s="58">
        <v>4200</v>
      </c>
      <c r="Q25" s="59"/>
      <c r="R25" s="58">
        <v>4770</v>
      </c>
      <c r="S25" s="59"/>
      <c r="T25" s="58">
        <v>6000</v>
      </c>
      <c r="U25" s="59"/>
      <c r="V25" s="58">
        <v>2800</v>
      </c>
      <c r="W25" s="59"/>
      <c r="X25" s="58">
        <v>4120</v>
      </c>
      <c r="Y25" s="59"/>
      <c r="Z25" s="58">
        <v>3910</v>
      </c>
      <c r="AA25" s="59"/>
      <c r="AB25" s="137"/>
      <c r="AC25" s="138"/>
    </row>
    <row r="26" spans="1:29" ht="24.75" customHeight="1">
      <c r="A26" s="110"/>
      <c r="B26" s="94" t="s">
        <v>47</v>
      </c>
      <c r="C26" s="95"/>
      <c r="D26" s="58">
        <v>0</v>
      </c>
      <c r="E26" s="59"/>
      <c r="F26" s="58">
        <v>0</v>
      </c>
      <c r="G26" s="59"/>
      <c r="H26" s="58">
        <v>0</v>
      </c>
      <c r="I26" s="59"/>
      <c r="J26" s="58">
        <v>0</v>
      </c>
      <c r="K26" s="59"/>
      <c r="L26" s="58">
        <v>0</v>
      </c>
      <c r="M26" s="59"/>
      <c r="N26" s="58">
        <v>0</v>
      </c>
      <c r="O26" s="59"/>
      <c r="P26" s="58">
        <v>0</v>
      </c>
      <c r="Q26" s="59"/>
      <c r="R26" s="58">
        <v>0</v>
      </c>
      <c r="S26" s="59"/>
      <c r="T26" s="58">
        <v>0</v>
      </c>
      <c r="U26" s="59"/>
      <c r="V26" s="58">
        <v>0</v>
      </c>
      <c r="W26" s="59"/>
      <c r="X26" s="58">
        <v>0</v>
      </c>
      <c r="Y26" s="59"/>
      <c r="Z26" s="58">
        <v>0</v>
      </c>
      <c r="AA26" s="59"/>
      <c r="AB26" s="137"/>
      <c r="AC26" s="138"/>
    </row>
    <row r="27" spans="1:29" ht="24.75" customHeight="1">
      <c r="A27" s="111"/>
      <c r="B27" s="94" t="s">
        <v>48</v>
      </c>
      <c r="C27" s="95"/>
      <c r="D27" s="83">
        <v>0</v>
      </c>
      <c r="E27" s="84"/>
      <c r="F27" s="83">
        <v>0</v>
      </c>
      <c r="G27" s="84"/>
      <c r="H27" s="83">
        <v>0</v>
      </c>
      <c r="I27" s="84"/>
      <c r="J27" s="83">
        <v>0</v>
      </c>
      <c r="K27" s="84"/>
      <c r="L27" s="83">
        <v>0</v>
      </c>
      <c r="M27" s="84"/>
      <c r="N27" s="83">
        <v>0</v>
      </c>
      <c r="O27" s="84"/>
      <c r="P27" s="83">
        <v>0</v>
      </c>
      <c r="Q27" s="84"/>
      <c r="R27" s="83">
        <v>0</v>
      </c>
      <c r="S27" s="84"/>
      <c r="T27" s="83"/>
      <c r="U27" s="84"/>
      <c r="V27" s="83">
        <v>18944</v>
      </c>
      <c r="W27" s="84"/>
      <c r="X27" s="83">
        <v>18944</v>
      </c>
      <c r="Y27" s="84"/>
      <c r="Z27" s="83">
        <v>18944</v>
      </c>
      <c r="AA27" s="84"/>
      <c r="AB27" s="141"/>
      <c r="AC27" s="142"/>
    </row>
    <row r="28" spans="1:29" ht="24.75" customHeight="1" thickBot="1">
      <c r="A28" s="112"/>
      <c r="B28" s="124" t="s">
        <v>51</v>
      </c>
      <c r="C28" s="125"/>
      <c r="D28" s="101">
        <v>0</v>
      </c>
      <c r="E28" s="102"/>
      <c r="F28" s="101">
        <v>0</v>
      </c>
      <c r="G28" s="102"/>
      <c r="H28" s="101">
        <v>0</v>
      </c>
      <c r="I28" s="102"/>
      <c r="J28" s="101">
        <v>0</v>
      </c>
      <c r="K28" s="102"/>
      <c r="L28" s="101">
        <v>30000</v>
      </c>
      <c r="M28" s="102"/>
      <c r="N28" s="101">
        <v>0</v>
      </c>
      <c r="O28" s="102"/>
      <c r="P28" s="101">
        <v>0</v>
      </c>
      <c r="Q28" s="102"/>
      <c r="R28" s="101">
        <v>0</v>
      </c>
      <c r="S28" s="102"/>
      <c r="T28" s="101">
        <v>20000</v>
      </c>
      <c r="U28" s="102"/>
      <c r="V28" s="101"/>
      <c r="W28" s="102"/>
      <c r="X28" s="101"/>
      <c r="Y28" s="102"/>
      <c r="Z28" s="101"/>
      <c r="AA28" s="102"/>
      <c r="AB28" s="152"/>
      <c r="AC28" s="153"/>
    </row>
    <row r="29" spans="1:29" ht="24.75" customHeight="1" thickBot="1">
      <c r="A29" s="71" t="s">
        <v>36</v>
      </c>
      <c r="B29" s="72"/>
      <c r="C29" s="73"/>
      <c r="D29" s="83">
        <f>SUM(D24:D28)</f>
        <v>2033.0639999999999</v>
      </c>
      <c r="E29" s="84"/>
      <c r="F29" s="83">
        <f t="shared" ref="F29" si="25">SUM(F24:F28)</f>
        <v>1517.9850000000001</v>
      </c>
      <c r="G29" s="84"/>
      <c r="H29" s="83">
        <f t="shared" ref="H29" si="26">SUM(H24:H28)</f>
        <v>1564.66</v>
      </c>
      <c r="I29" s="84"/>
      <c r="J29" s="83">
        <f t="shared" ref="J29" si="27">SUM(J24:J28)</f>
        <v>3735.8850000000002</v>
      </c>
      <c r="K29" s="84"/>
      <c r="L29" s="83">
        <f t="shared" ref="L29" si="28">SUM(L24:L28)</f>
        <v>33088.06</v>
      </c>
      <c r="M29" s="84"/>
      <c r="N29" s="83">
        <f t="shared" ref="N29" si="29">SUM(N24:N28)</f>
        <v>2630.16</v>
      </c>
      <c r="O29" s="84"/>
      <c r="P29" s="83">
        <f t="shared" ref="P29" si="30">SUM(P24:P28)</f>
        <v>4763.6760000000004</v>
      </c>
      <c r="Q29" s="84"/>
      <c r="R29" s="83">
        <f t="shared" ref="R29" si="31">SUM(R24:R28)</f>
        <v>5382.9780000000001</v>
      </c>
      <c r="S29" s="84"/>
      <c r="T29" s="83">
        <f t="shared" ref="T29" si="32">SUM(T24:T28)</f>
        <v>26688.644</v>
      </c>
      <c r="U29" s="84"/>
      <c r="V29" s="83">
        <f t="shared" ref="V29" si="33">SUM(V24:V28)</f>
        <v>22147.421999999999</v>
      </c>
      <c r="W29" s="84"/>
      <c r="X29" s="83">
        <f t="shared" ref="X29" si="34">SUM(X24:X28)</f>
        <v>23606.697</v>
      </c>
      <c r="Y29" s="84"/>
      <c r="Z29" s="83">
        <f t="shared" ref="Z29" si="35">SUM(Z24:Z28)</f>
        <v>23377.595999999998</v>
      </c>
      <c r="AA29" s="131"/>
      <c r="AB29" s="141">
        <f t="shared" ref="AB29" si="36">SUM(AB24:AB28)</f>
        <v>0</v>
      </c>
      <c r="AC29" s="142"/>
    </row>
    <row r="30" spans="1:29" ht="24.75" customHeight="1" thickTop="1" thickBot="1">
      <c r="A30" s="132" t="s">
        <v>37</v>
      </c>
      <c r="B30" s="133"/>
      <c r="C30" s="134"/>
      <c r="D30" s="126">
        <f>D23-D29</f>
        <v>175654.93599999999</v>
      </c>
      <c r="E30" s="127"/>
      <c r="F30" s="126">
        <f>F23-F29</f>
        <v>104477.015</v>
      </c>
      <c r="G30" s="127"/>
      <c r="H30" s="126">
        <f>H23-H29</f>
        <v>106655.34</v>
      </c>
      <c r="I30" s="127"/>
      <c r="J30" s="126">
        <f>J23-J29</f>
        <v>151559.11499999999</v>
      </c>
      <c r="K30" s="127"/>
      <c r="L30" s="126">
        <f>L23-L29</f>
        <v>102931.94</v>
      </c>
      <c r="M30" s="127"/>
      <c r="N30" s="126">
        <f>N23-N29</f>
        <v>124089.84</v>
      </c>
      <c r="O30" s="127"/>
      <c r="P30" s="126">
        <f>P23-P29</f>
        <v>183128.32399999999</v>
      </c>
      <c r="Q30" s="127"/>
      <c r="R30" s="126">
        <f>R23-R29</f>
        <v>198943.022</v>
      </c>
      <c r="S30" s="127"/>
      <c r="T30" s="126">
        <f>T23-T29</f>
        <v>202859.356</v>
      </c>
      <c r="U30" s="127"/>
      <c r="V30" s="126">
        <f>V23-V29</f>
        <v>112326.57800000001</v>
      </c>
      <c r="W30" s="127"/>
      <c r="X30" s="126">
        <f>X21-X29</f>
        <v>157292.30300000001</v>
      </c>
      <c r="Y30" s="127"/>
      <c r="Z30" s="126">
        <f>Z23-Z29</f>
        <v>151154.40400000001</v>
      </c>
      <c r="AA30" s="128"/>
      <c r="AB30" s="155">
        <f>D30+F30+H30+J30+L30+N30</f>
        <v>765368.18599999987</v>
      </c>
      <c r="AC30" s="156"/>
    </row>
  </sheetData>
  <mergeCells count="308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5E40-D4FD-405F-88CA-DB8CEB09CF81}">
  <sheetPr codeName="Sheet2"/>
  <dimension ref="A1:AC32"/>
  <sheetViews>
    <sheetView workbookViewId="0">
      <selection activeCell="F21" sqref="F21:G2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5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178"/>
      <c r="T4" s="179"/>
      <c r="U4" s="179"/>
      <c r="V4" s="179"/>
      <c r="W4" s="179"/>
      <c r="X4" s="179"/>
      <c r="Y4" s="180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1"/>
      <c r="AB6" s="60" t="s">
        <v>20</v>
      </c>
      <c r="AC6" s="64"/>
    </row>
    <row r="7" spans="1:29" ht="24.75" customHeight="1">
      <c r="A7" s="65" t="s">
        <v>40</v>
      </c>
      <c r="B7" s="66"/>
      <c r="C7" s="67"/>
      <c r="D7" s="3">
        <v>18</v>
      </c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5"/>
      <c r="AC7" s="9" t="s">
        <v>21</v>
      </c>
    </row>
    <row r="8" spans="1:29" ht="24.75" customHeight="1">
      <c r="A8" s="65" t="s">
        <v>41</v>
      </c>
      <c r="B8" s="66"/>
      <c r="C8" s="67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5"/>
      <c r="AC8" s="9" t="s">
        <v>22</v>
      </c>
    </row>
    <row r="9" spans="1:29" ht="24.75" customHeight="1">
      <c r="A9" s="65" t="s">
        <v>23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4.75" customHeight="1">
      <c r="A10" s="65" t="s">
        <v>24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4.75" customHeight="1" thickBot="1">
      <c r="A11" s="80" t="s">
        <v>25</v>
      </c>
      <c r="B11" s="81"/>
      <c r="C11" s="82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5"/>
      <c r="AC11" s="9" t="s">
        <v>22</v>
      </c>
    </row>
    <row r="12" spans="1:29" ht="24.75" customHeight="1" thickTop="1">
      <c r="A12" s="71" t="s">
        <v>26</v>
      </c>
      <c r="B12" s="72"/>
      <c r="C12" s="73"/>
      <c r="D12" s="74">
        <v>8600</v>
      </c>
      <c r="E12" s="75"/>
      <c r="F12" s="74">
        <v>8600</v>
      </c>
      <c r="G12" s="75"/>
      <c r="H12" s="74">
        <v>8600</v>
      </c>
      <c r="I12" s="75"/>
      <c r="J12" s="74">
        <v>8600</v>
      </c>
      <c r="K12" s="75"/>
      <c r="L12" s="74">
        <v>8600</v>
      </c>
      <c r="M12" s="75"/>
      <c r="N12" s="74">
        <v>8600</v>
      </c>
      <c r="O12" s="75"/>
      <c r="P12" s="74">
        <v>8600</v>
      </c>
      <c r="Q12" s="75"/>
      <c r="R12" s="74">
        <v>8600</v>
      </c>
      <c r="S12" s="75"/>
      <c r="T12" s="74">
        <v>8600</v>
      </c>
      <c r="U12" s="75"/>
      <c r="V12" s="74">
        <v>8600</v>
      </c>
      <c r="W12" s="75"/>
      <c r="X12" s="74">
        <v>8600</v>
      </c>
      <c r="Y12" s="75"/>
      <c r="Z12" s="74">
        <v>8600</v>
      </c>
      <c r="AA12" s="75"/>
      <c r="AB12" s="74">
        <v>8600</v>
      </c>
      <c r="AC12" s="77"/>
    </row>
    <row r="13" spans="1:29" ht="24.75" customHeight="1">
      <c r="A13" s="65" t="s">
        <v>49</v>
      </c>
      <c r="B13" s="66"/>
      <c r="C13" s="67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59"/>
      <c r="AB13" s="58"/>
      <c r="AC13" s="79"/>
    </row>
    <row r="14" spans="1:29" ht="24.75" customHeight="1">
      <c r="A14" s="89" t="s">
        <v>27</v>
      </c>
      <c r="B14" s="90"/>
      <c r="C14" s="66"/>
      <c r="D14" s="58">
        <v>10750</v>
      </c>
      <c r="E14" s="59"/>
      <c r="F14" s="58">
        <v>10750</v>
      </c>
      <c r="G14" s="59"/>
      <c r="H14" s="58">
        <v>10750</v>
      </c>
      <c r="I14" s="59"/>
      <c r="J14" s="58">
        <v>10750</v>
      </c>
      <c r="K14" s="59"/>
      <c r="L14" s="58">
        <v>10750</v>
      </c>
      <c r="M14" s="59"/>
      <c r="N14" s="58">
        <v>10750</v>
      </c>
      <c r="O14" s="59"/>
      <c r="P14" s="58">
        <v>10750</v>
      </c>
      <c r="Q14" s="59"/>
      <c r="R14" s="58">
        <v>10750</v>
      </c>
      <c r="S14" s="59"/>
      <c r="T14" s="58">
        <v>10750</v>
      </c>
      <c r="U14" s="59"/>
      <c r="V14" s="58">
        <v>10750</v>
      </c>
      <c r="W14" s="59"/>
      <c r="X14" s="58">
        <v>10750</v>
      </c>
      <c r="Y14" s="59"/>
      <c r="Z14" s="58">
        <v>10750</v>
      </c>
      <c r="AA14" s="59"/>
      <c r="AB14" s="58">
        <v>10750</v>
      </c>
      <c r="AC14" s="79"/>
    </row>
    <row r="15" spans="1:29" ht="24.75" customHeight="1" thickBot="1">
      <c r="A15" s="80" t="s">
        <v>50</v>
      </c>
      <c r="B15" s="81"/>
      <c r="C15" s="82"/>
      <c r="D15" s="85"/>
      <c r="E15" s="86"/>
      <c r="F15" s="85"/>
      <c r="G15" s="86"/>
      <c r="H15" s="85"/>
      <c r="I15" s="86"/>
      <c r="J15" s="85"/>
      <c r="K15" s="86"/>
      <c r="L15" s="85"/>
      <c r="M15" s="86"/>
      <c r="N15" s="85"/>
      <c r="O15" s="86"/>
      <c r="P15" s="85"/>
      <c r="Q15" s="86"/>
      <c r="R15" s="85"/>
      <c r="S15" s="86"/>
      <c r="T15" s="85"/>
      <c r="U15" s="86"/>
      <c r="V15" s="85"/>
      <c r="W15" s="86"/>
      <c r="X15" s="85"/>
      <c r="Y15" s="86"/>
      <c r="Z15" s="85"/>
      <c r="AA15" s="86"/>
      <c r="AB15" s="85"/>
      <c r="AC15" s="88"/>
    </row>
    <row r="16" spans="1:29" ht="24.75" customHeight="1" thickTop="1">
      <c r="A16" s="92" t="s">
        <v>42</v>
      </c>
      <c r="B16" s="17"/>
      <c r="C16" s="6" t="s">
        <v>43</v>
      </c>
      <c r="D16" s="83"/>
      <c r="E16" s="84"/>
      <c r="F16" s="83"/>
      <c r="G16" s="84"/>
      <c r="H16" s="83"/>
      <c r="I16" s="84"/>
      <c r="J16" s="83"/>
      <c r="K16" s="84"/>
      <c r="L16" s="83"/>
      <c r="M16" s="84"/>
      <c r="N16" s="83"/>
      <c r="O16" s="84"/>
      <c r="P16" s="83"/>
      <c r="Q16" s="84"/>
      <c r="R16" s="83"/>
      <c r="S16" s="84"/>
      <c r="T16" s="83"/>
      <c r="U16" s="84"/>
      <c r="V16" s="83"/>
      <c r="W16" s="84"/>
      <c r="X16" s="83"/>
      <c r="Y16" s="84"/>
      <c r="Z16" s="83"/>
      <c r="AA16" s="84"/>
      <c r="AB16" s="83"/>
      <c r="AC16" s="97"/>
    </row>
    <row r="17" spans="1:29" ht="24.75" customHeight="1">
      <c r="A17" s="92"/>
      <c r="B17" s="16"/>
      <c r="C17" s="7" t="s">
        <v>44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58"/>
      <c r="AC17" s="79"/>
    </row>
    <row r="18" spans="1:29" ht="24.75" customHeight="1">
      <c r="A18" s="92"/>
      <c r="B18" s="16"/>
      <c r="C18" s="7" t="s">
        <v>45</v>
      </c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58"/>
      <c r="AC18" s="79"/>
    </row>
    <row r="19" spans="1:29" ht="24.75" customHeight="1">
      <c r="A19" s="92"/>
      <c r="B19" s="94" t="s">
        <v>28</v>
      </c>
      <c r="C19" s="95"/>
      <c r="D19" s="58">
        <v>4144</v>
      </c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58"/>
      <c r="AC19" s="79"/>
    </row>
    <row r="20" spans="1:29" ht="24.75" customHeight="1">
      <c r="A20" s="92"/>
      <c r="B20" s="94" t="s">
        <v>29</v>
      </c>
      <c r="C20" s="95"/>
      <c r="D20" s="58">
        <v>5100</v>
      </c>
      <c r="E20" s="59"/>
      <c r="F20" s="58"/>
      <c r="G20" s="59"/>
      <c r="H20" s="58"/>
      <c r="I20" s="59"/>
      <c r="J20" s="58"/>
      <c r="K20" s="59"/>
      <c r="L20" s="58"/>
      <c r="M20" s="59"/>
      <c r="N20" s="58"/>
      <c r="O20" s="59"/>
      <c r="P20" s="58"/>
      <c r="Q20" s="59"/>
      <c r="R20" s="58"/>
      <c r="S20" s="59"/>
      <c r="T20" s="58"/>
      <c r="U20" s="59"/>
      <c r="V20" s="58"/>
      <c r="W20" s="59"/>
      <c r="X20" s="58"/>
      <c r="Y20" s="59"/>
      <c r="Z20" s="58"/>
      <c r="AA20" s="59"/>
      <c r="AB20" s="58"/>
      <c r="AC20" s="79"/>
    </row>
    <row r="21" spans="1:29" ht="24.75" customHeight="1">
      <c r="A21" s="110"/>
      <c r="B21" s="94" t="s">
        <v>30</v>
      </c>
      <c r="C21" s="95"/>
      <c r="D21" s="58"/>
      <c r="E21" s="59"/>
      <c r="F21" s="58"/>
      <c r="G21" s="59"/>
      <c r="H21" s="58"/>
      <c r="I21" s="59"/>
      <c r="J21" s="58"/>
      <c r="K21" s="59"/>
      <c r="L21" s="58"/>
      <c r="M21" s="59"/>
      <c r="N21" s="58"/>
      <c r="O21" s="59"/>
      <c r="P21" s="58"/>
      <c r="Q21" s="59"/>
      <c r="R21" s="58"/>
      <c r="S21" s="59"/>
      <c r="T21" s="58"/>
      <c r="U21" s="59"/>
      <c r="V21" s="58"/>
      <c r="W21" s="59"/>
      <c r="X21" s="58"/>
      <c r="Y21" s="59"/>
      <c r="Z21" s="58"/>
      <c r="AA21" s="59"/>
      <c r="AB21" s="58"/>
      <c r="AC21" s="79"/>
    </row>
    <row r="22" spans="1:29" ht="24.75" customHeight="1">
      <c r="A22" s="65" t="s">
        <v>31</v>
      </c>
      <c r="B22" s="66"/>
      <c r="C22" s="67"/>
      <c r="D22" s="58">
        <f>INT(D7*D12+D8*D14+D10*D13+D11*D15+D16+D17+D18+D19+D20+D21)</f>
        <v>174794</v>
      </c>
      <c r="E22" s="59"/>
      <c r="F22" s="58">
        <f>INT(F7*F12+F8*F14+F10*F13+F11*F15+F16+F17+F18+F19+F20+F21)</f>
        <v>0</v>
      </c>
      <c r="G22" s="59"/>
      <c r="H22" s="58">
        <f>INT(H7*H12+H8*H14+H10*H13+H11*H15+H16+H17+H18+H19+H20+H21)</f>
        <v>0</v>
      </c>
      <c r="I22" s="59"/>
      <c r="J22" s="58">
        <f>INT(J7*J12+J8*J14+J10*J13+J11*J15+J16+J17+J18+J19+J20+J21)</f>
        <v>0</v>
      </c>
      <c r="K22" s="59"/>
      <c r="L22" s="58">
        <f>INT(L7*L12+L8*L14+L10*L13+L11*L15+L16+L17+L18+L19+L20+L21)</f>
        <v>0</v>
      </c>
      <c r="M22" s="59"/>
      <c r="N22" s="58">
        <f>INT(N7*N12+N8*N14+N10*N13+N11*N15+N16+N17+N18+N19+N20+N21)</f>
        <v>0</v>
      </c>
      <c r="O22" s="59"/>
      <c r="P22" s="58">
        <f>INT(P7*P12+P8*P14+P10*P13+P11*P15+P16+P17+P18+P19+P20+P21)</f>
        <v>0</v>
      </c>
      <c r="Q22" s="59"/>
      <c r="R22" s="58">
        <f>INT(R7*R12+R8*R14+R10*R13+R11*R15+R16+R17+R18+R19+R20+R21)</f>
        <v>0</v>
      </c>
      <c r="S22" s="59"/>
      <c r="T22" s="58">
        <f>INT(T7*T12+T8*T14+T10*T13+T11*T15+T16+T17+T18+T19+T20+T21)</f>
        <v>0</v>
      </c>
      <c r="U22" s="59"/>
      <c r="V22" s="58">
        <f>INT(V7*V12+V8*V14+V10*V13+V11*V15+V16+V17+V18+V19+V20+V21)</f>
        <v>0</v>
      </c>
      <c r="W22" s="59"/>
      <c r="X22" s="58">
        <f>INT(X7*X12+X8*X14+X10*X13+X11*X15+X16+X17+X18+X19+X20+X21)</f>
        <v>0</v>
      </c>
      <c r="Y22" s="59"/>
      <c r="Z22" s="58">
        <f>INT(Z7*Z12+Z8*Z14+Z10*Z13+Z11*Z15+Z16+Z17+Z18+Z19+Z20+Z21)</f>
        <v>0</v>
      </c>
      <c r="AA22" s="59"/>
      <c r="AB22" s="58">
        <f>D22+F22+H22+J22+L22+N22</f>
        <v>174794</v>
      </c>
      <c r="AC22" s="79"/>
    </row>
    <row r="23" spans="1:29" ht="24.75" customHeight="1">
      <c r="A23" s="65" t="s">
        <v>32</v>
      </c>
      <c r="B23" s="66"/>
      <c r="C23" s="67"/>
      <c r="D23" s="58"/>
      <c r="E23" s="59"/>
      <c r="F23" s="58"/>
      <c r="G23" s="59"/>
      <c r="H23" s="58"/>
      <c r="I23" s="59"/>
      <c r="J23" s="58"/>
      <c r="K23" s="59"/>
      <c r="L23" s="58"/>
      <c r="M23" s="59"/>
      <c r="N23" s="58"/>
      <c r="O23" s="59"/>
      <c r="P23" s="58"/>
      <c r="Q23" s="59"/>
      <c r="R23" s="58"/>
      <c r="S23" s="59"/>
      <c r="T23" s="58"/>
      <c r="U23" s="59"/>
      <c r="V23" s="58"/>
      <c r="W23" s="59"/>
      <c r="X23" s="58"/>
      <c r="Y23" s="59"/>
      <c r="Z23" s="58"/>
      <c r="AA23" s="59"/>
      <c r="AB23" s="58"/>
      <c r="AC23" s="79"/>
    </row>
    <row r="24" spans="1:29" ht="24.75" customHeight="1" thickBot="1">
      <c r="A24" s="98" t="s">
        <v>39</v>
      </c>
      <c r="B24" s="99"/>
      <c r="C24" s="100"/>
      <c r="D24" s="143">
        <v>25000</v>
      </c>
      <c r="E24" s="144"/>
      <c r="F24" s="143"/>
      <c r="G24" s="144"/>
      <c r="H24" s="143"/>
      <c r="I24" s="144"/>
      <c r="J24" s="143"/>
      <c r="K24" s="144"/>
      <c r="L24" s="143"/>
      <c r="M24" s="144"/>
      <c r="N24" s="143"/>
      <c r="O24" s="144"/>
      <c r="P24" s="143"/>
      <c r="Q24" s="144"/>
      <c r="R24" s="143"/>
      <c r="S24" s="144"/>
      <c r="T24" s="143"/>
      <c r="U24" s="144"/>
      <c r="V24" s="143"/>
      <c r="W24" s="144"/>
      <c r="X24" s="143"/>
      <c r="Y24" s="144"/>
      <c r="Z24" s="143"/>
      <c r="AA24" s="144"/>
      <c r="AB24" s="143"/>
      <c r="AC24" s="104"/>
    </row>
    <row r="25" spans="1:29" ht="24.75" customHeight="1" thickBot="1">
      <c r="A25" s="117" t="s">
        <v>20</v>
      </c>
      <c r="B25" s="118"/>
      <c r="C25" s="119"/>
      <c r="D25" s="105">
        <f>D22+D23+D24</f>
        <v>199794</v>
      </c>
      <c r="E25" s="106"/>
      <c r="F25" s="105">
        <f>F22+F23+F24</f>
        <v>0</v>
      </c>
      <c r="G25" s="106"/>
      <c r="H25" s="105">
        <f>H22+H23+H24</f>
        <v>0</v>
      </c>
      <c r="I25" s="106"/>
      <c r="J25" s="105">
        <f>J22+J23+J24</f>
        <v>0</v>
      </c>
      <c r="K25" s="106"/>
      <c r="L25" s="105">
        <f>L22+L23+L24</f>
        <v>0</v>
      </c>
      <c r="M25" s="106"/>
      <c r="N25" s="105">
        <f>N22+N23+N24</f>
        <v>0</v>
      </c>
      <c r="O25" s="106"/>
      <c r="P25" s="105">
        <f>P22+P23+P24</f>
        <v>0</v>
      </c>
      <c r="Q25" s="106"/>
      <c r="R25" s="105">
        <f>R22+R23+R24</f>
        <v>0</v>
      </c>
      <c r="S25" s="106"/>
      <c r="T25" s="105">
        <f>T22+T23+T24</f>
        <v>0</v>
      </c>
      <c r="U25" s="106"/>
      <c r="V25" s="105">
        <f>V22+V23+V24</f>
        <v>0</v>
      </c>
      <c r="W25" s="106"/>
      <c r="X25" s="105">
        <f>X22+X23+X24</f>
        <v>0</v>
      </c>
      <c r="Y25" s="106"/>
      <c r="Z25" s="105">
        <f>Z22+Z23+Z24</f>
        <v>0</v>
      </c>
      <c r="AA25" s="106"/>
      <c r="AB25" s="105">
        <f>D25+F25+H25+J25+L25+N25</f>
        <v>199794</v>
      </c>
      <c r="AC25" s="108"/>
    </row>
    <row r="26" spans="1:29" ht="24.75" customHeight="1">
      <c r="A26" s="109" t="s">
        <v>33</v>
      </c>
      <c r="B26" s="113" t="s">
        <v>34</v>
      </c>
      <c r="C26" s="114"/>
      <c r="D26" s="115">
        <v>599</v>
      </c>
      <c r="E26" s="116"/>
      <c r="F26" s="115"/>
      <c r="G26" s="116"/>
      <c r="H26" s="115"/>
      <c r="I26" s="116"/>
      <c r="J26" s="115"/>
      <c r="K26" s="116"/>
      <c r="L26" s="115"/>
      <c r="M26" s="116"/>
      <c r="N26" s="115"/>
      <c r="O26" s="116"/>
      <c r="P26" s="115"/>
      <c r="Q26" s="116"/>
      <c r="R26" s="115"/>
      <c r="S26" s="116"/>
      <c r="T26" s="115"/>
      <c r="U26" s="116"/>
      <c r="V26" s="115"/>
      <c r="W26" s="116"/>
      <c r="X26" s="115"/>
      <c r="Y26" s="116"/>
      <c r="Z26" s="115"/>
      <c r="AA26" s="116"/>
      <c r="AB26" s="115"/>
      <c r="AC26" s="121"/>
    </row>
    <row r="27" spans="1:29" ht="24.75" customHeight="1">
      <c r="A27" s="110"/>
      <c r="B27" s="94" t="s">
        <v>35</v>
      </c>
      <c r="C27" s="95"/>
      <c r="D27" s="58">
        <v>4770</v>
      </c>
      <c r="E27" s="59"/>
      <c r="F27" s="58"/>
      <c r="G27" s="59"/>
      <c r="H27" s="58"/>
      <c r="I27" s="59"/>
      <c r="J27" s="58"/>
      <c r="K27" s="59"/>
      <c r="L27" s="58"/>
      <c r="M27" s="59"/>
      <c r="N27" s="58"/>
      <c r="O27" s="59"/>
      <c r="P27" s="58"/>
      <c r="Q27" s="59"/>
      <c r="R27" s="58"/>
      <c r="S27" s="59"/>
      <c r="T27" s="58"/>
      <c r="U27" s="59"/>
      <c r="V27" s="58"/>
      <c r="W27" s="59"/>
      <c r="X27" s="58"/>
      <c r="Y27" s="59"/>
      <c r="Z27" s="58"/>
      <c r="AA27" s="59"/>
      <c r="AB27" s="58"/>
      <c r="AC27" s="79"/>
    </row>
    <row r="28" spans="1:29" ht="24.75" customHeight="1">
      <c r="A28" s="110"/>
      <c r="B28" s="94" t="s">
        <v>47</v>
      </c>
      <c r="C28" s="95"/>
      <c r="D28" s="58">
        <v>11800</v>
      </c>
      <c r="E28" s="59"/>
      <c r="F28" s="58"/>
      <c r="G28" s="59"/>
      <c r="H28" s="58"/>
      <c r="I28" s="59"/>
      <c r="J28" s="58"/>
      <c r="K28" s="59"/>
      <c r="L28" s="58"/>
      <c r="M28" s="59"/>
      <c r="N28" s="58"/>
      <c r="O28" s="59"/>
      <c r="P28" s="58"/>
      <c r="Q28" s="59"/>
      <c r="R28" s="58"/>
      <c r="S28" s="59"/>
      <c r="T28" s="58"/>
      <c r="U28" s="59"/>
      <c r="V28" s="58"/>
      <c r="W28" s="59"/>
      <c r="X28" s="58"/>
      <c r="Y28" s="59"/>
      <c r="Z28" s="58"/>
      <c r="AA28" s="59"/>
      <c r="AB28" s="58"/>
      <c r="AC28" s="79"/>
    </row>
    <row r="29" spans="1:29" ht="24.75" customHeight="1">
      <c r="A29" s="111"/>
      <c r="B29" s="94" t="s">
        <v>48</v>
      </c>
      <c r="C29" s="95"/>
      <c r="D29" s="83"/>
      <c r="E29" s="84"/>
      <c r="F29" s="83"/>
      <c r="G29" s="84"/>
      <c r="H29" s="83"/>
      <c r="I29" s="84"/>
      <c r="J29" s="83"/>
      <c r="K29" s="84"/>
      <c r="L29" s="83"/>
      <c r="M29" s="84"/>
      <c r="N29" s="83"/>
      <c r="O29" s="84"/>
      <c r="P29" s="83"/>
      <c r="Q29" s="84"/>
      <c r="R29" s="83"/>
      <c r="S29" s="84"/>
      <c r="T29" s="83"/>
      <c r="U29" s="84"/>
      <c r="V29" s="83"/>
      <c r="W29" s="84"/>
      <c r="X29" s="83"/>
      <c r="Y29" s="84"/>
      <c r="Z29" s="83"/>
      <c r="AA29" s="84"/>
      <c r="AB29" s="83"/>
      <c r="AC29" s="97"/>
    </row>
    <row r="30" spans="1:29" ht="24.75" customHeight="1" thickBot="1">
      <c r="A30" s="112"/>
      <c r="B30" s="124" t="s">
        <v>51</v>
      </c>
      <c r="C30" s="125"/>
      <c r="D30" s="101">
        <v>220</v>
      </c>
      <c r="E30" s="102"/>
      <c r="F30" s="101"/>
      <c r="G30" s="102"/>
      <c r="H30" s="101"/>
      <c r="I30" s="102"/>
      <c r="J30" s="101"/>
      <c r="K30" s="102"/>
      <c r="L30" s="101"/>
      <c r="M30" s="102"/>
      <c r="N30" s="101"/>
      <c r="O30" s="102"/>
      <c r="P30" s="101"/>
      <c r="Q30" s="102"/>
      <c r="R30" s="101"/>
      <c r="S30" s="102"/>
      <c r="T30" s="101"/>
      <c r="U30" s="102"/>
      <c r="V30" s="101"/>
      <c r="W30" s="102"/>
      <c r="X30" s="101"/>
      <c r="Y30" s="102"/>
      <c r="Z30" s="101"/>
      <c r="AA30" s="102"/>
      <c r="AB30" s="101"/>
      <c r="AC30" s="123"/>
    </row>
    <row r="31" spans="1:29" ht="24.75" customHeight="1" thickBot="1">
      <c r="A31" s="71" t="s">
        <v>36</v>
      </c>
      <c r="B31" s="72"/>
      <c r="C31" s="73"/>
      <c r="D31" s="83">
        <f>SUM(D26:D30)</f>
        <v>17389</v>
      </c>
      <c r="E31" s="84"/>
      <c r="F31" s="83">
        <f t="shared" ref="F31" si="0">SUM(F26:F30)</f>
        <v>0</v>
      </c>
      <c r="G31" s="84"/>
      <c r="H31" s="83">
        <f t="shared" ref="H31" si="1">SUM(H26:H30)</f>
        <v>0</v>
      </c>
      <c r="I31" s="84"/>
      <c r="J31" s="83">
        <f t="shared" ref="J31" si="2">SUM(J26:J30)</f>
        <v>0</v>
      </c>
      <c r="K31" s="84"/>
      <c r="L31" s="83">
        <f t="shared" ref="L31" si="3">SUM(L26:L30)</f>
        <v>0</v>
      </c>
      <c r="M31" s="84"/>
      <c r="N31" s="83">
        <f t="shared" ref="N31" si="4">SUM(N26:N30)</f>
        <v>0</v>
      </c>
      <c r="O31" s="84"/>
      <c r="P31" s="83">
        <f t="shared" ref="P31" si="5">SUM(P26:P30)</f>
        <v>0</v>
      </c>
      <c r="Q31" s="84"/>
      <c r="R31" s="83">
        <f t="shared" ref="R31" si="6">SUM(R26:R30)</f>
        <v>0</v>
      </c>
      <c r="S31" s="84"/>
      <c r="T31" s="83">
        <f t="shared" ref="T31" si="7">SUM(T26:T30)</f>
        <v>0</v>
      </c>
      <c r="U31" s="84"/>
      <c r="V31" s="83">
        <f t="shared" ref="V31" si="8">SUM(V26:V30)</f>
        <v>0</v>
      </c>
      <c r="W31" s="84"/>
      <c r="X31" s="83">
        <f t="shared" ref="X31" si="9">SUM(X26:X30)</f>
        <v>0</v>
      </c>
      <c r="Y31" s="84"/>
      <c r="Z31" s="83">
        <f t="shared" ref="Z31" si="10">SUM(Z26:Z30)</f>
        <v>0</v>
      </c>
      <c r="AA31" s="84"/>
      <c r="AB31" s="83">
        <f t="shared" ref="AB31" si="11">SUM(AB26:AB30)</f>
        <v>0</v>
      </c>
      <c r="AC31" s="97"/>
    </row>
    <row r="32" spans="1:29" ht="24.75" customHeight="1" thickTop="1" thickBot="1">
      <c r="A32" s="132" t="s">
        <v>37</v>
      </c>
      <c r="B32" s="133"/>
      <c r="C32" s="134"/>
      <c r="D32" s="126">
        <f>D25-D31</f>
        <v>182405</v>
      </c>
      <c r="E32" s="127"/>
      <c r="F32" s="126">
        <f>F25-F31</f>
        <v>0</v>
      </c>
      <c r="G32" s="127"/>
      <c r="H32" s="126">
        <f>H25-H31</f>
        <v>0</v>
      </c>
      <c r="I32" s="127"/>
      <c r="J32" s="126">
        <f>J25-J31</f>
        <v>0</v>
      </c>
      <c r="K32" s="127"/>
      <c r="L32" s="126">
        <f>L25-L31</f>
        <v>0</v>
      </c>
      <c r="M32" s="127"/>
      <c r="N32" s="126">
        <f>N25-N31</f>
        <v>0</v>
      </c>
      <c r="O32" s="127"/>
      <c r="P32" s="126">
        <f>P25-P31</f>
        <v>0</v>
      </c>
      <c r="Q32" s="127"/>
      <c r="R32" s="126">
        <f>R25-R31</f>
        <v>0</v>
      </c>
      <c r="S32" s="127"/>
      <c r="T32" s="126">
        <f>T25-T31</f>
        <v>0</v>
      </c>
      <c r="U32" s="127"/>
      <c r="V32" s="126">
        <f>V25-V31</f>
        <v>0</v>
      </c>
      <c r="W32" s="127"/>
      <c r="X32" s="126">
        <f>X22-X31</f>
        <v>0</v>
      </c>
      <c r="Y32" s="127"/>
      <c r="Z32" s="126">
        <f>Z25-Z31</f>
        <v>0</v>
      </c>
      <c r="AA32" s="127"/>
      <c r="AB32" s="126">
        <f>D32+F32+H32+J32+L32+N32</f>
        <v>182405</v>
      </c>
      <c r="AC32" s="130"/>
    </row>
  </sheetData>
  <mergeCells count="323">
    <mergeCell ref="Z30:AA30"/>
    <mergeCell ref="AB30:AC30"/>
    <mergeCell ref="T28:U28"/>
    <mergeCell ref="V28:W28"/>
    <mergeCell ref="X28:Y28"/>
    <mergeCell ref="Z28:AA28"/>
    <mergeCell ref="AB28:AC28"/>
    <mergeCell ref="V29:W29"/>
    <mergeCell ref="X29:Y29"/>
    <mergeCell ref="Z29:AA29"/>
    <mergeCell ref="AB29:AC29"/>
    <mergeCell ref="X26:Y26"/>
    <mergeCell ref="Z26:AA26"/>
    <mergeCell ref="AB26:AC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J26:K26"/>
    <mergeCell ref="L26:M26"/>
    <mergeCell ref="N26:O26"/>
    <mergeCell ref="P26:Q26"/>
    <mergeCell ref="R26:S26"/>
    <mergeCell ref="T26:U26"/>
    <mergeCell ref="V26:W26"/>
    <mergeCell ref="D26:E26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F26:G26"/>
    <mergeCell ref="H26:I26"/>
    <mergeCell ref="R28:S28"/>
    <mergeCell ref="X31:Y31"/>
    <mergeCell ref="R31:S31"/>
    <mergeCell ref="T31:U31"/>
    <mergeCell ref="V31:W31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N31:O31"/>
    <mergeCell ref="P31:Q31"/>
    <mergeCell ref="D28:E28"/>
    <mergeCell ref="F28:G28"/>
    <mergeCell ref="H28:I28"/>
    <mergeCell ref="J28:K28"/>
    <mergeCell ref="L28:M28"/>
    <mergeCell ref="N28:O28"/>
    <mergeCell ref="P28:Q28"/>
    <mergeCell ref="D24:E24"/>
    <mergeCell ref="F24:G24"/>
    <mergeCell ref="Z31:AA31"/>
    <mergeCell ref="AB31:AC31"/>
    <mergeCell ref="A32:C32"/>
    <mergeCell ref="D32:E32"/>
    <mergeCell ref="F32:G32"/>
    <mergeCell ref="H32:I32"/>
    <mergeCell ref="J32:K32"/>
    <mergeCell ref="X32:Y32"/>
    <mergeCell ref="Z32:AA32"/>
    <mergeCell ref="AB32:AC32"/>
    <mergeCell ref="L32:M32"/>
    <mergeCell ref="N32:O32"/>
    <mergeCell ref="P32:Q32"/>
    <mergeCell ref="R32:S32"/>
    <mergeCell ref="T32:U32"/>
    <mergeCell ref="V32:W32"/>
    <mergeCell ref="A31:C31"/>
    <mergeCell ref="D31:E31"/>
    <mergeCell ref="F31:G31"/>
    <mergeCell ref="H31:I31"/>
    <mergeCell ref="J31:K31"/>
    <mergeCell ref="L31:M31"/>
    <mergeCell ref="T22:U22"/>
    <mergeCell ref="V22:W22"/>
    <mergeCell ref="X22:Y22"/>
    <mergeCell ref="AB24:AC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N22:O22"/>
    <mergeCell ref="P22:Q22"/>
    <mergeCell ref="R22:S22"/>
    <mergeCell ref="H24:I24"/>
    <mergeCell ref="J24:K24"/>
    <mergeCell ref="L24:M24"/>
    <mergeCell ref="N24:O24"/>
    <mergeCell ref="L23:M23"/>
    <mergeCell ref="N23:O23"/>
    <mergeCell ref="J20:K20"/>
    <mergeCell ref="L20:M20"/>
    <mergeCell ref="N20:O20"/>
    <mergeCell ref="P20:Q20"/>
    <mergeCell ref="Z22:AA22"/>
    <mergeCell ref="AB22:AC22"/>
    <mergeCell ref="A23:C23"/>
    <mergeCell ref="D23:E23"/>
    <mergeCell ref="F23:G23"/>
    <mergeCell ref="H23:I23"/>
    <mergeCell ref="J23:K23"/>
    <mergeCell ref="X23:Y23"/>
    <mergeCell ref="Z23:AA23"/>
    <mergeCell ref="AB23:AC23"/>
    <mergeCell ref="P23:Q23"/>
    <mergeCell ref="R23:S23"/>
    <mergeCell ref="T23:U23"/>
    <mergeCell ref="V23:W23"/>
    <mergeCell ref="A22:C22"/>
    <mergeCell ref="D22:E22"/>
    <mergeCell ref="F22:G22"/>
    <mergeCell ref="H22:I22"/>
    <mergeCell ref="J22:K22"/>
    <mergeCell ref="L22:M22"/>
    <mergeCell ref="D21:E21"/>
    <mergeCell ref="F21:G21"/>
    <mergeCell ref="H21:I21"/>
    <mergeCell ref="J21:K21"/>
    <mergeCell ref="L21:M21"/>
    <mergeCell ref="N21:O21"/>
    <mergeCell ref="AB21:AC21"/>
    <mergeCell ref="P21:Q21"/>
    <mergeCell ref="R21:S21"/>
    <mergeCell ref="T21:U21"/>
    <mergeCell ref="V21:W21"/>
    <mergeCell ref="X21:Y21"/>
    <mergeCell ref="Z21:AA21"/>
    <mergeCell ref="R20:S20"/>
    <mergeCell ref="T20:U20"/>
    <mergeCell ref="Z18:AA18"/>
    <mergeCell ref="AB18:AC18"/>
    <mergeCell ref="D19:E19"/>
    <mergeCell ref="F19:G19"/>
    <mergeCell ref="H19:I19"/>
    <mergeCell ref="J19:K19"/>
    <mergeCell ref="L19:M19"/>
    <mergeCell ref="N19:O19"/>
    <mergeCell ref="AB19:AC19"/>
    <mergeCell ref="P19:Q19"/>
    <mergeCell ref="R19:S19"/>
    <mergeCell ref="T19:U19"/>
    <mergeCell ref="V19:W19"/>
    <mergeCell ref="X19:Y19"/>
    <mergeCell ref="Z19:AA19"/>
    <mergeCell ref="V20:W20"/>
    <mergeCell ref="X20:Y20"/>
    <mergeCell ref="Z20:AA20"/>
    <mergeCell ref="AB20:AC20"/>
    <mergeCell ref="D20:E20"/>
    <mergeCell ref="F20:G20"/>
    <mergeCell ref="H20:I20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D12:E12"/>
    <mergeCell ref="F12:G12"/>
    <mergeCell ref="H12:I12"/>
    <mergeCell ref="X6:Y6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Z6:AA6"/>
    <mergeCell ref="AB6:AC6"/>
    <mergeCell ref="A7:C7"/>
    <mergeCell ref="A8:C8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B19:C19"/>
    <mergeCell ref="B20:C20"/>
    <mergeCell ref="B21:C21"/>
    <mergeCell ref="B26:C26"/>
    <mergeCell ref="B27:C27"/>
    <mergeCell ref="B28:C28"/>
    <mergeCell ref="B29:C29"/>
    <mergeCell ref="B30:C30"/>
    <mergeCell ref="A10:C10"/>
    <mergeCell ref="A11:C11"/>
    <mergeCell ref="A12:C12"/>
    <mergeCell ref="A26:A30"/>
    <mergeCell ref="A24:C2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7441-14C7-4602-A820-8561F18E17A2}">
  <sheetPr codeName="Sheet10">
    <tabColor theme="7"/>
  </sheetPr>
  <dimension ref="A1:AC30"/>
  <sheetViews>
    <sheetView topLeftCell="A5" workbookViewId="0">
      <selection activeCell="J15" sqref="J15:K15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52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176" t="s">
        <v>20</v>
      </c>
      <c r="AC6" s="177"/>
    </row>
    <row r="7" spans="1:29" ht="24.75" customHeight="1">
      <c r="A7" s="65" t="s">
        <v>40</v>
      </c>
      <c r="B7" s="66"/>
      <c r="C7" s="67"/>
      <c r="D7" s="3">
        <v>20</v>
      </c>
      <c r="E7" s="4" t="s">
        <v>21</v>
      </c>
      <c r="F7" s="3">
        <v>21</v>
      </c>
      <c r="G7" s="4" t="s">
        <v>21</v>
      </c>
      <c r="H7" s="3">
        <v>18</v>
      </c>
      <c r="I7" s="4" t="s">
        <v>21</v>
      </c>
      <c r="J7" s="3">
        <v>18</v>
      </c>
      <c r="K7" s="4" t="s">
        <v>21</v>
      </c>
      <c r="L7" s="3">
        <v>17</v>
      </c>
      <c r="M7" s="4" t="s">
        <v>21</v>
      </c>
      <c r="N7" s="3">
        <v>18</v>
      </c>
      <c r="O7" s="4" t="s">
        <v>21</v>
      </c>
      <c r="P7" s="3">
        <v>21</v>
      </c>
      <c r="Q7" s="4" t="s">
        <v>21</v>
      </c>
      <c r="R7" s="3">
        <v>22</v>
      </c>
      <c r="S7" s="4" t="s">
        <v>21</v>
      </c>
      <c r="T7" s="3">
        <v>19</v>
      </c>
      <c r="U7" s="4" t="s">
        <v>21</v>
      </c>
      <c r="V7" s="3">
        <v>22</v>
      </c>
      <c r="W7" s="4" t="s">
        <v>21</v>
      </c>
      <c r="X7" s="3">
        <v>20</v>
      </c>
      <c r="Y7" s="4" t="s">
        <v>21</v>
      </c>
      <c r="Z7" s="3">
        <v>16</v>
      </c>
      <c r="AA7" s="4" t="s">
        <v>21</v>
      </c>
      <c r="AB7" s="30"/>
      <c r="AC7" s="31" t="s">
        <v>21</v>
      </c>
    </row>
    <row r="8" spans="1:29" ht="24.75" customHeight="1">
      <c r="A8" s="65" t="s">
        <v>41</v>
      </c>
      <c r="B8" s="66"/>
      <c r="C8" s="67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3</v>
      </c>
      <c r="S8" s="4" t="s">
        <v>21</v>
      </c>
      <c r="T8" s="3">
        <v>1</v>
      </c>
      <c r="U8" s="4" t="s">
        <v>21</v>
      </c>
      <c r="V8" s="3">
        <v>1</v>
      </c>
      <c r="W8" s="4" t="s">
        <v>21</v>
      </c>
      <c r="X8" s="3">
        <v>2</v>
      </c>
      <c r="Y8" s="4" t="s">
        <v>21</v>
      </c>
      <c r="Z8" s="3">
        <v>1</v>
      </c>
      <c r="AA8" s="4" t="s">
        <v>21</v>
      </c>
      <c r="AB8" s="30"/>
      <c r="AC8" s="31" t="s">
        <v>22</v>
      </c>
    </row>
    <row r="9" spans="1:29" ht="24.75" customHeight="1">
      <c r="A9" s="65" t="s">
        <v>49</v>
      </c>
      <c r="B9" s="66"/>
      <c r="C9" s="67"/>
      <c r="D9" s="3">
        <v>21</v>
      </c>
      <c r="E9" s="4" t="s">
        <v>22</v>
      </c>
      <c r="F9" s="3">
        <v>4</v>
      </c>
      <c r="G9" s="4" t="s">
        <v>22</v>
      </c>
      <c r="H9" s="3">
        <v>0.5</v>
      </c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6</v>
      </c>
      <c r="S9" s="4" t="s">
        <v>22</v>
      </c>
      <c r="T9" s="3">
        <v>6</v>
      </c>
      <c r="U9" s="4" t="s">
        <v>22</v>
      </c>
      <c r="V9" s="3">
        <v>6</v>
      </c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80" t="s">
        <v>69</v>
      </c>
      <c r="B10" s="81"/>
      <c r="C10" s="8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3</v>
      </c>
      <c r="S10" s="4" t="s">
        <v>22</v>
      </c>
      <c r="T10" s="3">
        <v>3</v>
      </c>
      <c r="U10" s="4" t="s">
        <v>22</v>
      </c>
      <c r="V10" s="3">
        <v>3</v>
      </c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71" t="s">
        <v>26</v>
      </c>
      <c r="B11" s="72"/>
      <c r="C11" s="73"/>
      <c r="D11" s="74">
        <v>8600</v>
      </c>
      <c r="E11" s="75"/>
      <c r="F11" s="74">
        <v>8600</v>
      </c>
      <c r="G11" s="75"/>
      <c r="H11" s="74">
        <v>8600</v>
      </c>
      <c r="I11" s="75"/>
      <c r="J11" s="74">
        <v>8600</v>
      </c>
      <c r="K11" s="75"/>
      <c r="L11" s="74">
        <v>8600</v>
      </c>
      <c r="M11" s="75"/>
      <c r="N11" s="74">
        <v>8600</v>
      </c>
      <c r="O11" s="75"/>
      <c r="P11" s="74">
        <v>8600</v>
      </c>
      <c r="Q11" s="75"/>
      <c r="R11" s="74">
        <v>8600</v>
      </c>
      <c r="S11" s="75"/>
      <c r="T11" s="74">
        <v>8600</v>
      </c>
      <c r="U11" s="75"/>
      <c r="V11" s="74">
        <v>8600</v>
      </c>
      <c r="W11" s="75"/>
      <c r="X11" s="74">
        <v>8600</v>
      </c>
      <c r="Y11" s="75"/>
      <c r="Z11" s="74">
        <v>8600</v>
      </c>
      <c r="AA11" s="77"/>
      <c r="AB11" s="135"/>
      <c r="AC11" s="136"/>
    </row>
    <row r="12" spans="1:29" ht="24.75" customHeight="1">
      <c r="A12" s="65" t="s">
        <v>49</v>
      </c>
      <c r="B12" s="66"/>
      <c r="C12" s="67"/>
      <c r="D12" s="58">
        <v>1343</v>
      </c>
      <c r="E12" s="59"/>
      <c r="F12" s="58">
        <v>1343</v>
      </c>
      <c r="G12" s="59"/>
      <c r="H12" s="58">
        <v>1343</v>
      </c>
      <c r="I12" s="59"/>
      <c r="J12" s="58">
        <v>1343</v>
      </c>
      <c r="K12" s="59"/>
      <c r="L12" s="58">
        <v>1344</v>
      </c>
      <c r="M12" s="59"/>
      <c r="N12" s="58">
        <v>1344</v>
      </c>
      <c r="O12" s="59"/>
      <c r="P12" s="58">
        <v>1344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79"/>
      <c r="AB12" s="137"/>
      <c r="AC12" s="138"/>
    </row>
    <row r="13" spans="1:29" ht="24.75" customHeight="1">
      <c r="A13" s="89" t="s">
        <v>27</v>
      </c>
      <c r="B13" s="90"/>
      <c r="C13" s="66"/>
      <c r="D13" s="58">
        <v>10750</v>
      </c>
      <c r="E13" s="59"/>
      <c r="F13" s="58">
        <v>10750</v>
      </c>
      <c r="G13" s="59"/>
      <c r="H13" s="58">
        <v>10750</v>
      </c>
      <c r="I13" s="59"/>
      <c r="J13" s="58">
        <v>10750</v>
      </c>
      <c r="K13" s="59"/>
      <c r="L13" s="58">
        <v>10750</v>
      </c>
      <c r="M13" s="59"/>
      <c r="N13" s="58">
        <v>10750</v>
      </c>
      <c r="O13" s="59"/>
      <c r="P13" s="58">
        <v>10750</v>
      </c>
      <c r="Q13" s="59"/>
      <c r="R13" s="58">
        <v>10600</v>
      </c>
      <c r="S13" s="59"/>
      <c r="T13" s="58">
        <v>10600</v>
      </c>
      <c r="U13" s="59"/>
      <c r="V13" s="58">
        <v>10600</v>
      </c>
      <c r="W13" s="59"/>
      <c r="X13" s="58">
        <v>10600</v>
      </c>
      <c r="Y13" s="59"/>
      <c r="Z13" s="58">
        <v>10600</v>
      </c>
      <c r="AA13" s="79"/>
      <c r="AB13" s="137"/>
      <c r="AC13" s="138"/>
    </row>
    <row r="14" spans="1:29" ht="24.75" customHeight="1" thickBot="1">
      <c r="A14" s="80" t="s">
        <v>50</v>
      </c>
      <c r="B14" s="81"/>
      <c r="C14" s="82"/>
      <c r="D14" s="85">
        <v>1680</v>
      </c>
      <c r="E14" s="86"/>
      <c r="F14" s="85">
        <v>1680</v>
      </c>
      <c r="G14" s="86"/>
      <c r="H14" s="85">
        <v>1680</v>
      </c>
      <c r="I14" s="86"/>
      <c r="J14" s="85">
        <v>1680</v>
      </c>
      <c r="K14" s="86"/>
      <c r="L14" s="85">
        <v>1680</v>
      </c>
      <c r="M14" s="86"/>
      <c r="N14" s="85">
        <v>1680</v>
      </c>
      <c r="O14" s="86"/>
      <c r="P14" s="85">
        <v>1680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88"/>
      <c r="AB14" s="139"/>
      <c r="AC14" s="140"/>
    </row>
    <row r="15" spans="1:29" ht="24.75" customHeight="1" thickTop="1">
      <c r="A15" s="91" t="s">
        <v>42</v>
      </c>
      <c r="B15" s="20" t="s">
        <v>67</v>
      </c>
      <c r="C15" s="2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135"/>
      <c r="AC15" s="136"/>
    </row>
    <row r="16" spans="1:29" ht="24.75" customHeight="1">
      <c r="A16" s="92"/>
      <c r="B16" s="18" t="s">
        <v>68</v>
      </c>
      <c r="C16" s="19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37"/>
      <c r="AC16" s="138"/>
    </row>
    <row r="17" spans="1:29" ht="24.75" customHeight="1">
      <c r="A17" s="92"/>
      <c r="B17" s="18"/>
      <c r="C17" s="19" t="s">
        <v>45</v>
      </c>
      <c r="D17" s="58">
        <v>3450</v>
      </c>
      <c r="E17" s="59"/>
      <c r="F17" s="58">
        <v>5650</v>
      </c>
      <c r="G17" s="59"/>
      <c r="H17" s="58">
        <v>3150</v>
      </c>
      <c r="I17" s="59"/>
      <c r="J17" s="58">
        <v>1000</v>
      </c>
      <c r="K17" s="59"/>
      <c r="L17" s="58">
        <v>14750</v>
      </c>
      <c r="M17" s="59"/>
      <c r="N17" s="58">
        <v>200</v>
      </c>
      <c r="O17" s="59"/>
      <c r="P17" s="58">
        <v>1000</v>
      </c>
      <c r="Q17" s="59"/>
      <c r="R17" s="58">
        <v>400</v>
      </c>
      <c r="S17" s="59"/>
      <c r="T17" s="58">
        <v>1600</v>
      </c>
      <c r="U17" s="59"/>
      <c r="V17" s="58"/>
      <c r="W17" s="59"/>
      <c r="X17" s="58"/>
      <c r="Y17" s="59"/>
      <c r="Z17" s="58">
        <v>1200</v>
      </c>
      <c r="AA17" s="59"/>
      <c r="AB17" s="137"/>
      <c r="AC17" s="138"/>
    </row>
    <row r="18" spans="1:29" ht="24.75" customHeight="1">
      <c r="A18" s="92"/>
      <c r="B18" s="94" t="s">
        <v>28</v>
      </c>
      <c r="C18" s="95"/>
      <c r="D18" s="58">
        <v>5775</v>
      </c>
      <c r="E18" s="59"/>
      <c r="F18" s="58">
        <v>6007</v>
      </c>
      <c r="G18" s="59"/>
      <c r="H18" s="58">
        <v>4717</v>
      </c>
      <c r="I18" s="59"/>
      <c r="J18" s="58">
        <v>6527</v>
      </c>
      <c r="K18" s="59"/>
      <c r="L18" s="58">
        <v>4200</v>
      </c>
      <c r="M18" s="59"/>
      <c r="N18" s="58">
        <v>3560</v>
      </c>
      <c r="O18" s="59"/>
      <c r="P18" s="58">
        <v>3760</v>
      </c>
      <c r="Q18" s="59"/>
      <c r="R18" s="58">
        <v>6256</v>
      </c>
      <c r="S18" s="59"/>
      <c r="T18" s="58">
        <v>2864</v>
      </c>
      <c r="U18" s="59"/>
      <c r="V18" s="58">
        <v>5168</v>
      </c>
      <c r="W18" s="59"/>
      <c r="X18" s="58">
        <v>6912</v>
      </c>
      <c r="Y18" s="59"/>
      <c r="Z18" s="58">
        <v>4296</v>
      </c>
      <c r="AA18" s="59"/>
      <c r="AB18" s="137"/>
      <c r="AC18" s="138"/>
    </row>
    <row r="19" spans="1:29" ht="24.75" customHeight="1">
      <c r="A19" s="92"/>
      <c r="B19" s="94" t="s">
        <v>29</v>
      </c>
      <c r="C19" s="95"/>
      <c r="D19" s="58">
        <v>2600</v>
      </c>
      <c r="E19" s="59"/>
      <c r="F19" s="58">
        <v>4200</v>
      </c>
      <c r="G19" s="59"/>
      <c r="H19" s="58">
        <v>2200</v>
      </c>
      <c r="I19" s="59"/>
      <c r="J19" s="58">
        <v>800</v>
      </c>
      <c r="K19" s="59"/>
      <c r="L19" s="58">
        <v>3800</v>
      </c>
      <c r="M19" s="59"/>
      <c r="N19" s="58">
        <v>4050</v>
      </c>
      <c r="O19" s="59"/>
      <c r="P19" s="58">
        <v>4200</v>
      </c>
      <c r="Q19" s="59"/>
      <c r="R19" s="58">
        <v>3600</v>
      </c>
      <c r="S19" s="59"/>
      <c r="T19" s="58">
        <v>3150</v>
      </c>
      <c r="U19" s="59"/>
      <c r="V19" s="58">
        <v>8550</v>
      </c>
      <c r="W19" s="59"/>
      <c r="X19" s="58">
        <v>6750</v>
      </c>
      <c r="Y19" s="59"/>
      <c r="Z19" s="58">
        <v>1350</v>
      </c>
      <c r="AA19" s="59"/>
      <c r="AB19" s="137"/>
      <c r="AC19" s="138"/>
    </row>
    <row r="20" spans="1:29" ht="24.75" customHeight="1" thickBot="1">
      <c r="A20" s="93"/>
      <c r="B20" s="52" t="s">
        <v>30</v>
      </c>
      <c r="C20" s="48"/>
      <c r="D20" s="85"/>
      <c r="E20" s="86"/>
      <c r="F20" s="85">
        <v>2000</v>
      </c>
      <c r="G20" s="86"/>
      <c r="H20" s="85">
        <v>4000</v>
      </c>
      <c r="I20" s="86"/>
      <c r="J20" s="85"/>
      <c r="K20" s="86"/>
      <c r="L20" s="85">
        <v>10000</v>
      </c>
      <c r="M20" s="86"/>
      <c r="N20" s="85"/>
      <c r="O20" s="86"/>
      <c r="P20" s="85">
        <v>1000</v>
      </c>
      <c r="Q20" s="86"/>
      <c r="R20" s="85"/>
      <c r="S20" s="86"/>
      <c r="T20" s="85">
        <v>20000</v>
      </c>
      <c r="U20" s="86"/>
      <c r="V20" s="85"/>
      <c r="W20" s="86"/>
      <c r="X20" s="85"/>
      <c r="Y20" s="86"/>
      <c r="Z20" s="85"/>
      <c r="AA20" s="86"/>
      <c r="AB20" s="139"/>
      <c r="AC20" s="140"/>
    </row>
    <row r="21" spans="1:29" ht="24.75" customHeight="1" thickTop="1">
      <c r="A21" s="71" t="s">
        <v>31</v>
      </c>
      <c r="B21" s="72"/>
      <c r="C21" s="73"/>
      <c r="D21" s="74">
        <f>INT(D7*D11+D8*D13+D10*D12+D15+D16+D17+D18+D19+D20+D9*D12)</f>
        <v>222778</v>
      </c>
      <c r="E21" s="75"/>
      <c r="F21" s="74">
        <f>INT(F7*F11+F8*F13+F10*F12+F15+F16+F17+F18+F19+F9*F12+F20)</f>
        <v>203829</v>
      </c>
      <c r="G21" s="75"/>
      <c r="H21" s="74">
        <f>INT(H7*H11+H8*H13+H10*H12+H15+H16+H17+H18+H19+H20+H9*H12)</f>
        <v>169538</v>
      </c>
      <c r="I21" s="75"/>
      <c r="J21" s="74">
        <f t="shared" ref="J21" si="0">INT(J7*J11+J8*J13+J10*J12+J15+J16+J17+J18+J19+J20)</f>
        <v>163127</v>
      </c>
      <c r="K21" s="75"/>
      <c r="L21" s="74">
        <f t="shared" ref="L21" si="1">INT(L7*L11+L8*L13+L10*L12+L15+L16+L17+L18+L19+L20)</f>
        <v>178950</v>
      </c>
      <c r="M21" s="75"/>
      <c r="N21" s="74">
        <f>N7*N11+N17+N18+N19+N20</f>
        <v>162610</v>
      </c>
      <c r="O21" s="75"/>
      <c r="P21" s="74">
        <f t="shared" ref="P21" si="2">INT(P7*P11+P8*P13+P10*P12+P15+P16+P17+P18+P19+P20)</f>
        <v>190560</v>
      </c>
      <c r="Q21" s="75"/>
      <c r="R21" s="74">
        <f>INT(R7*R11+R8*R13+R9*R12+R15+R16+R17+R18+R19+R20+R10*R14)</f>
        <v>243442</v>
      </c>
      <c r="S21" s="75"/>
      <c r="T21" s="74">
        <f>INT(T7*T11+T8*T13+T9*T12+T15+T16+T17+T18+T19+T20+T10*T14)</f>
        <v>213800</v>
      </c>
      <c r="U21" s="75"/>
      <c r="V21" s="74">
        <f>INT(V7*V11+V8*V13+V9*V12+V15+V16+V17+V18+V19+V20+V10*V14)</f>
        <v>225704</v>
      </c>
      <c r="W21" s="75"/>
      <c r="X21" s="74">
        <f t="shared" ref="X21" si="3">INT(X7*X11+X8*X13+X10*X12+X15+X16+X17+X18+X19+X20)</f>
        <v>206862</v>
      </c>
      <c r="Y21" s="75"/>
      <c r="Z21" s="74">
        <f t="shared" ref="Z21" si="4">INT(Z7*Z11+Z8*Z13+Z10*Z12+Z15+Z16+Z17+Z18+Z19+Z20)</f>
        <v>155046</v>
      </c>
      <c r="AA21" s="75"/>
      <c r="AB21" s="141">
        <f>D21+F21+H21+J21+L21+N21</f>
        <v>1100832</v>
      </c>
      <c r="AC21" s="142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45"/>
      <c r="AC22" s="146"/>
    </row>
    <row r="23" spans="1:29" ht="24.75" customHeight="1" thickBot="1">
      <c r="A23" s="117" t="s">
        <v>20</v>
      </c>
      <c r="B23" s="118"/>
      <c r="C23" s="119"/>
      <c r="D23" s="105">
        <f>D21</f>
        <v>222778</v>
      </c>
      <c r="E23" s="106"/>
      <c r="F23" s="105">
        <f t="shared" ref="F23" si="5">F21+F22</f>
        <v>203829</v>
      </c>
      <c r="G23" s="106"/>
      <c r="H23" s="105">
        <f t="shared" ref="H23" si="6">H21+H22</f>
        <v>169538</v>
      </c>
      <c r="I23" s="106"/>
      <c r="J23" s="105">
        <f t="shared" ref="J23" si="7">J21+J22</f>
        <v>163127</v>
      </c>
      <c r="K23" s="106"/>
      <c r="L23" s="105">
        <f t="shared" ref="L23" si="8">L21+L22</f>
        <v>178950</v>
      </c>
      <c r="M23" s="106"/>
      <c r="N23" s="105">
        <f t="shared" ref="N23" si="9">N21+N22</f>
        <v>162610</v>
      </c>
      <c r="O23" s="106"/>
      <c r="P23" s="105">
        <f t="shared" ref="P23" si="10">P21+P22</f>
        <v>190560</v>
      </c>
      <c r="Q23" s="106"/>
      <c r="R23" s="105">
        <f t="shared" ref="R23" si="11">R21+R22</f>
        <v>243442</v>
      </c>
      <c r="S23" s="106"/>
      <c r="T23" s="105">
        <f>T21+T22</f>
        <v>213800</v>
      </c>
      <c r="U23" s="106"/>
      <c r="V23" s="105">
        <f t="shared" ref="V23" si="12">V21+V22</f>
        <v>225704</v>
      </c>
      <c r="W23" s="106"/>
      <c r="X23" s="105">
        <f t="shared" ref="X23" si="13">X21+X22</f>
        <v>206862</v>
      </c>
      <c r="Y23" s="106"/>
      <c r="Z23" s="105">
        <f t="shared" ref="Z23" si="14">Z21+Z22</f>
        <v>155046</v>
      </c>
      <c r="AA23" s="106"/>
      <c r="AB23" s="147">
        <f>D23+F23+H23+J23+L23+N23</f>
        <v>1100832</v>
      </c>
      <c r="AC23" s="148"/>
    </row>
    <row r="24" spans="1:29" ht="24.75" customHeight="1">
      <c r="A24" s="109" t="s">
        <v>33</v>
      </c>
      <c r="B24" s="113" t="s">
        <v>34</v>
      </c>
      <c r="C24" s="114"/>
      <c r="D24" s="115">
        <f>D23*0.003</f>
        <v>668.33400000000006</v>
      </c>
      <c r="E24" s="116"/>
      <c r="F24" s="115">
        <f t="shared" ref="F24" si="15">F23*0.003</f>
        <v>611.48699999999997</v>
      </c>
      <c r="G24" s="116"/>
      <c r="H24" s="115">
        <f t="shared" ref="H24" si="16">H23*0.003</f>
        <v>508.61400000000003</v>
      </c>
      <c r="I24" s="116"/>
      <c r="J24" s="115">
        <f>J23*0.003</f>
        <v>489.38100000000003</v>
      </c>
      <c r="K24" s="116"/>
      <c r="L24" s="115">
        <f>L23*0.003</f>
        <v>536.85</v>
      </c>
      <c r="M24" s="116"/>
      <c r="N24" s="115">
        <f t="shared" ref="N24" si="17">N23*0.003</f>
        <v>487.83</v>
      </c>
      <c r="O24" s="116"/>
      <c r="P24" s="115">
        <f t="shared" ref="P24" si="18">P23*0.003</f>
        <v>571.68000000000006</v>
      </c>
      <c r="Q24" s="116"/>
      <c r="R24" s="115">
        <f t="shared" ref="R24" si="19">R23*0.003</f>
        <v>730.32600000000002</v>
      </c>
      <c r="S24" s="116"/>
      <c r="T24" s="115">
        <f t="shared" ref="T24" si="20">T23*0.003</f>
        <v>641.4</v>
      </c>
      <c r="U24" s="116"/>
      <c r="V24" s="115">
        <f t="shared" ref="V24" si="21">V23*0.003</f>
        <v>677.11199999999997</v>
      </c>
      <c r="W24" s="116"/>
      <c r="X24" s="115">
        <f t="shared" ref="X24" si="22">X23*0.003</f>
        <v>620.58600000000001</v>
      </c>
      <c r="Y24" s="116"/>
      <c r="Z24" s="115">
        <f t="shared" ref="Z24" si="23">Z23*0.003</f>
        <v>465.13800000000003</v>
      </c>
      <c r="AA24" s="116"/>
      <c r="AB24" s="150"/>
      <c r="AC24" s="151"/>
    </row>
    <row r="25" spans="1:29" ht="24.75" customHeight="1">
      <c r="A25" s="110"/>
      <c r="B25" s="94" t="s">
        <v>35</v>
      </c>
      <c r="C25" s="95"/>
      <c r="D25" s="58">
        <v>5560</v>
      </c>
      <c r="E25" s="59"/>
      <c r="F25" s="58">
        <v>4980</v>
      </c>
      <c r="G25" s="59"/>
      <c r="H25" s="58">
        <v>3620</v>
      </c>
      <c r="I25" s="59"/>
      <c r="J25" s="58">
        <v>3550</v>
      </c>
      <c r="K25" s="59"/>
      <c r="L25" s="58">
        <v>3910</v>
      </c>
      <c r="M25" s="59"/>
      <c r="N25" s="58">
        <v>3350</v>
      </c>
      <c r="O25" s="59"/>
      <c r="P25" s="58">
        <v>4910</v>
      </c>
      <c r="Q25" s="59"/>
      <c r="R25" s="58">
        <v>6420</v>
      </c>
      <c r="S25" s="59"/>
      <c r="T25" s="58">
        <v>5410</v>
      </c>
      <c r="U25" s="59"/>
      <c r="V25" s="58">
        <v>5410</v>
      </c>
      <c r="W25" s="59"/>
      <c r="X25" s="58">
        <v>5130</v>
      </c>
      <c r="Y25" s="59"/>
      <c r="Z25" s="58">
        <v>3270</v>
      </c>
      <c r="AA25" s="59"/>
      <c r="AB25" s="137"/>
      <c r="AC25" s="138"/>
    </row>
    <row r="26" spans="1:29" ht="24.75" customHeight="1">
      <c r="A26" s="110"/>
      <c r="B26" s="94" t="s">
        <v>47</v>
      </c>
      <c r="C26" s="95"/>
      <c r="D26" s="58">
        <v>11800</v>
      </c>
      <c r="E26" s="59"/>
      <c r="F26" s="58">
        <v>11800</v>
      </c>
      <c r="G26" s="59"/>
      <c r="H26" s="58">
        <v>9300</v>
      </c>
      <c r="I26" s="59"/>
      <c r="J26" s="58">
        <v>9000</v>
      </c>
      <c r="K26" s="59"/>
      <c r="L26" s="58">
        <v>9000</v>
      </c>
      <c r="M26" s="59"/>
      <c r="N26" s="58">
        <v>9000</v>
      </c>
      <c r="O26" s="59"/>
      <c r="P26" s="58">
        <v>9000</v>
      </c>
      <c r="Q26" s="59"/>
      <c r="R26" s="58">
        <v>9000</v>
      </c>
      <c r="S26" s="59"/>
      <c r="T26" s="58">
        <v>9000</v>
      </c>
      <c r="U26" s="59"/>
      <c r="V26" s="58">
        <v>9000</v>
      </c>
      <c r="W26" s="59"/>
      <c r="X26" s="58">
        <v>9000</v>
      </c>
      <c r="Y26" s="59"/>
      <c r="Z26" s="58">
        <v>9000</v>
      </c>
      <c r="AA26" s="59"/>
      <c r="AB26" s="137"/>
      <c r="AC26" s="138"/>
    </row>
    <row r="27" spans="1:29" ht="24.75" customHeight="1">
      <c r="A27" s="111"/>
      <c r="B27" s="94" t="s">
        <v>48</v>
      </c>
      <c r="C27" s="95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  <c r="R27" s="83"/>
      <c r="S27" s="84"/>
      <c r="T27" s="83"/>
      <c r="U27" s="84"/>
      <c r="V27" s="83"/>
      <c r="W27" s="84"/>
      <c r="X27" s="83"/>
      <c r="Y27" s="84"/>
      <c r="Z27" s="83"/>
      <c r="AA27" s="84"/>
      <c r="AB27" s="141"/>
      <c r="AC27" s="142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>
        <v>10000</v>
      </c>
      <c r="M28" s="102"/>
      <c r="N28" s="101"/>
      <c r="O28" s="102"/>
      <c r="P28" s="101"/>
      <c r="Q28" s="102"/>
      <c r="R28" s="101"/>
      <c r="S28" s="102"/>
      <c r="T28" s="101">
        <v>20000</v>
      </c>
      <c r="U28" s="102"/>
      <c r="V28" s="101"/>
      <c r="W28" s="102"/>
      <c r="X28" s="101"/>
      <c r="Y28" s="102"/>
      <c r="Z28" s="101"/>
      <c r="AA28" s="102"/>
      <c r="AB28" s="152"/>
      <c r="AC28" s="153"/>
    </row>
    <row r="29" spans="1:29" ht="24.75" customHeight="1" thickBot="1">
      <c r="A29" s="71" t="s">
        <v>36</v>
      </c>
      <c r="B29" s="72"/>
      <c r="C29" s="73"/>
      <c r="D29" s="83">
        <f>SUM(D24:D28)</f>
        <v>18028.333999999999</v>
      </c>
      <c r="E29" s="84"/>
      <c r="F29" s="83">
        <f t="shared" ref="F29" si="24">SUM(F24:F28)</f>
        <v>17391.487000000001</v>
      </c>
      <c r="G29" s="84"/>
      <c r="H29" s="83">
        <f t="shared" ref="H29" si="25">SUM(H24:H28)</f>
        <v>13428.614</v>
      </c>
      <c r="I29" s="84"/>
      <c r="J29" s="83">
        <f t="shared" ref="J29" si="26">SUM(J24:J28)</f>
        <v>13039.380999999999</v>
      </c>
      <c r="K29" s="84"/>
      <c r="L29" s="83">
        <f t="shared" ref="L29" si="27">SUM(L24:L28)</f>
        <v>23446.85</v>
      </c>
      <c r="M29" s="84"/>
      <c r="N29" s="83">
        <f t="shared" ref="N29" si="28">SUM(N24:N28)</f>
        <v>12837.83</v>
      </c>
      <c r="O29" s="84"/>
      <c r="P29" s="83">
        <f t="shared" ref="P29" si="29">SUM(P24:P28)</f>
        <v>14481.68</v>
      </c>
      <c r="Q29" s="84"/>
      <c r="R29" s="83">
        <f t="shared" ref="R29" si="30">SUM(R24:R28)</f>
        <v>16150.326000000001</v>
      </c>
      <c r="S29" s="84"/>
      <c r="T29" s="83">
        <f t="shared" ref="T29" si="31">SUM(T24:T28)</f>
        <v>35051.4</v>
      </c>
      <c r="U29" s="84"/>
      <c r="V29" s="83">
        <f t="shared" ref="V29" si="32">SUM(V24:V28)</f>
        <v>15087.112000000001</v>
      </c>
      <c r="W29" s="84"/>
      <c r="X29" s="83">
        <f t="shared" ref="X29" si="33">SUM(X24:X28)</f>
        <v>14750.585999999999</v>
      </c>
      <c r="Y29" s="84"/>
      <c r="Z29" s="83">
        <f t="shared" ref="Z29" si="34">SUM(Z24:Z28)</f>
        <v>12735.137999999999</v>
      </c>
      <c r="AA29" s="131"/>
      <c r="AB29" s="141">
        <f t="shared" ref="AB29" si="35">SUM(AB24:AB28)</f>
        <v>0</v>
      </c>
      <c r="AC29" s="142"/>
    </row>
    <row r="30" spans="1:29" ht="24.75" customHeight="1" thickTop="1" thickBot="1">
      <c r="A30" s="132" t="s">
        <v>37</v>
      </c>
      <c r="B30" s="133"/>
      <c r="C30" s="134"/>
      <c r="D30" s="126">
        <f>D23-D29</f>
        <v>204749.666</v>
      </c>
      <c r="E30" s="127"/>
      <c r="F30" s="126">
        <f>F23-F29</f>
        <v>186437.51300000001</v>
      </c>
      <c r="G30" s="127"/>
      <c r="H30" s="126">
        <f>H23-H29</f>
        <v>156109.386</v>
      </c>
      <c r="I30" s="127"/>
      <c r="J30" s="126">
        <f>J23-J29</f>
        <v>150087.61900000001</v>
      </c>
      <c r="K30" s="127"/>
      <c r="L30" s="126">
        <f>L23-L29</f>
        <v>155503.15</v>
      </c>
      <c r="M30" s="127"/>
      <c r="N30" s="126">
        <f>N23-N29</f>
        <v>149772.17000000001</v>
      </c>
      <c r="O30" s="127"/>
      <c r="P30" s="126">
        <f>P23-P29</f>
        <v>176078.32</v>
      </c>
      <c r="Q30" s="127"/>
      <c r="R30" s="126">
        <f>R23-R29</f>
        <v>227291.674</v>
      </c>
      <c r="S30" s="127"/>
      <c r="T30" s="126">
        <f>T23-T29</f>
        <v>178748.6</v>
      </c>
      <c r="U30" s="127"/>
      <c r="V30" s="126">
        <f>V23-V29</f>
        <v>210616.88800000001</v>
      </c>
      <c r="W30" s="127"/>
      <c r="X30" s="126">
        <f>X21-X29</f>
        <v>192111.41399999999</v>
      </c>
      <c r="Y30" s="127"/>
      <c r="Z30" s="126">
        <f>Z23-Z29</f>
        <v>142310.86199999999</v>
      </c>
      <c r="AA30" s="128"/>
      <c r="AB30" s="155">
        <f>D30+F30+H30+J30+L30+N30</f>
        <v>1002659.504</v>
      </c>
      <c r="AC30" s="156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9F1AE-06B5-44A6-8B91-769D9BE71062}">
  <sheetPr codeName="Sheet8">
    <tabColor theme="7"/>
  </sheetPr>
  <dimension ref="A1:AE33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4" width="5.625" style="1"/>
    <col min="5" max="5" width="5.375" style="1" customWidth="1"/>
    <col min="6" max="6" width="5.625" style="1"/>
    <col min="7" max="7" width="5.25" style="1" customWidth="1"/>
    <col min="8" max="8" width="5.625" style="1"/>
    <col min="9" max="9" width="5.125" style="1" customWidth="1"/>
    <col min="10" max="13" width="5.625" style="1"/>
    <col min="14" max="14" width="6.75" style="1" bestFit="1" customWidth="1"/>
    <col min="15" max="17" width="5.625" style="1"/>
    <col min="18" max="18" width="6.625" style="1" bestFit="1" customWidth="1"/>
    <col min="19" max="19" width="5" style="1" customWidth="1"/>
    <col min="20" max="30" width="5.625" style="1"/>
    <col min="31" max="31" width="6.75" style="1" bestFit="1" customWidth="1"/>
    <col min="32" max="16384" width="5.625" style="1"/>
  </cols>
  <sheetData>
    <row r="1" spans="1:29" ht="24" customHeight="1">
      <c r="A1" s="37" t="s">
        <v>127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24" customHeight="1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24" customHeight="1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24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53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24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2" t="s">
        <v>11</v>
      </c>
      <c r="AA6" s="62"/>
      <c r="AB6" s="63" t="s">
        <v>20</v>
      </c>
      <c r="AC6" s="64"/>
    </row>
    <row r="7" spans="1:29" ht="24" customHeight="1">
      <c r="A7" s="65" t="s">
        <v>40</v>
      </c>
      <c r="B7" s="66"/>
      <c r="C7" s="67"/>
      <c r="D7" s="3">
        <v>7</v>
      </c>
      <c r="E7" s="4" t="s">
        <v>21</v>
      </c>
      <c r="F7" s="3">
        <v>18</v>
      </c>
      <c r="G7" s="4" t="s">
        <v>21</v>
      </c>
      <c r="H7" s="3">
        <v>16</v>
      </c>
      <c r="I7" s="4" t="s">
        <v>21</v>
      </c>
      <c r="J7" s="3">
        <v>22</v>
      </c>
      <c r="K7" s="4" t="s">
        <v>21</v>
      </c>
      <c r="L7" s="3">
        <v>11</v>
      </c>
      <c r="M7" s="4" t="s">
        <v>21</v>
      </c>
      <c r="N7" s="3">
        <v>11</v>
      </c>
      <c r="O7" s="4" t="s">
        <v>21</v>
      </c>
      <c r="P7" s="3">
        <v>19</v>
      </c>
      <c r="Q7" s="4" t="s">
        <v>21</v>
      </c>
      <c r="R7" s="3">
        <v>15</v>
      </c>
      <c r="S7" s="4" t="s">
        <v>21</v>
      </c>
      <c r="T7" s="3">
        <v>17</v>
      </c>
      <c r="U7" s="4" t="s">
        <v>21</v>
      </c>
      <c r="V7" s="3">
        <v>21</v>
      </c>
      <c r="W7" s="4" t="s">
        <v>21</v>
      </c>
      <c r="X7" s="3">
        <v>21</v>
      </c>
      <c r="Y7" s="4" t="s">
        <v>21</v>
      </c>
      <c r="Z7" s="32">
        <v>17</v>
      </c>
      <c r="AA7" s="4" t="s">
        <v>21</v>
      </c>
      <c r="AB7" s="24"/>
      <c r="AC7" s="9" t="s">
        <v>21</v>
      </c>
    </row>
    <row r="8" spans="1:29" ht="24" customHeight="1">
      <c r="A8" s="65" t="s">
        <v>41</v>
      </c>
      <c r="B8" s="66"/>
      <c r="C8" s="67"/>
      <c r="D8" s="3">
        <v>5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3</v>
      </c>
      <c r="S8" s="4" t="s">
        <v>21</v>
      </c>
      <c r="T8" s="3">
        <v>4</v>
      </c>
      <c r="U8" s="4" t="s">
        <v>21</v>
      </c>
      <c r="V8" s="3">
        <v>3</v>
      </c>
      <c r="W8" s="4" t="s">
        <v>21</v>
      </c>
      <c r="X8" s="3">
        <v>1</v>
      </c>
      <c r="Y8" s="4" t="s">
        <v>21</v>
      </c>
      <c r="Z8" s="32"/>
      <c r="AA8" s="4" t="s">
        <v>21</v>
      </c>
      <c r="AB8" s="24"/>
      <c r="AC8" s="9" t="s">
        <v>22</v>
      </c>
    </row>
    <row r="9" spans="1:29" ht="24" customHeight="1">
      <c r="A9" s="65" t="s">
        <v>100</v>
      </c>
      <c r="B9" s="66"/>
      <c r="C9" s="67"/>
      <c r="D9" s="3">
        <v>15</v>
      </c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6</v>
      </c>
      <c r="S9" s="4" t="s">
        <v>22</v>
      </c>
      <c r="T9" s="3">
        <v>12</v>
      </c>
      <c r="U9" s="4" t="s">
        <v>22</v>
      </c>
      <c r="V9" s="3">
        <v>7</v>
      </c>
      <c r="W9" s="4" t="s">
        <v>22</v>
      </c>
      <c r="X9" s="3">
        <v>1</v>
      </c>
      <c r="Y9" s="4" t="s">
        <v>22</v>
      </c>
      <c r="Z9" s="32"/>
      <c r="AA9" s="4" t="s">
        <v>22</v>
      </c>
      <c r="AB9" s="24"/>
      <c r="AC9" s="9" t="s">
        <v>22</v>
      </c>
    </row>
    <row r="10" spans="1:29" ht="24" customHeight="1" thickBot="1">
      <c r="A10" s="80" t="s">
        <v>99</v>
      </c>
      <c r="B10" s="81"/>
      <c r="C10" s="82"/>
      <c r="D10" s="3">
        <v>9</v>
      </c>
      <c r="E10" s="4" t="s">
        <v>22</v>
      </c>
      <c r="F10" s="3">
        <v>3.5</v>
      </c>
      <c r="G10" s="4" t="s">
        <v>22</v>
      </c>
      <c r="H10" s="3"/>
      <c r="I10" s="4" t="s">
        <v>22</v>
      </c>
      <c r="J10" s="3">
        <v>5</v>
      </c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15</v>
      </c>
      <c r="S10" s="4" t="s">
        <v>22</v>
      </c>
      <c r="T10" s="3">
        <v>25</v>
      </c>
      <c r="U10" s="4" t="s">
        <v>22</v>
      </c>
      <c r="V10" s="3">
        <v>21</v>
      </c>
      <c r="W10" s="4" t="s">
        <v>22</v>
      </c>
      <c r="X10" s="3">
        <v>21</v>
      </c>
      <c r="Y10" s="4" t="s">
        <v>22</v>
      </c>
      <c r="Z10" s="32">
        <v>16</v>
      </c>
      <c r="AA10" s="4" t="s">
        <v>22</v>
      </c>
      <c r="AB10" s="24"/>
      <c r="AC10" s="9" t="s">
        <v>22</v>
      </c>
    </row>
    <row r="11" spans="1:29" ht="24" customHeight="1" thickTop="1">
      <c r="A11" s="71" t="s">
        <v>26</v>
      </c>
      <c r="B11" s="72"/>
      <c r="C11" s="73"/>
      <c r="D11" s="74">
        <v>8800</v>
      </c>
      <c r="E11" s="75"/>
      <c r="F11" s="74">
        <v>8800</v>
      </c>
      <c r="G11" s="75"/>
      <c r="H11" s="74">
        <v>8800</v>
      </c>
      <c r="I11" s="75"/>
      <c r="J11" s="74">
        <v>8800</v>
      </c>
      <c r="K11" s="75"/>
      <c r="L11" s="74">
        <v>8800</v>
      </c>
      <c r="M11" s="75"/>
      <c r="N11" s="74">
        <v>8800</v>
      </c>
      <c r="O11" s="75"/>
      <c r="P11" s="74">
        <v>8800</v>
      </c>
      <c r="Q11" s="75"/>
      <c r="R11" s="74">
        <v>8800</v>
      </c>
      <c r="S11" s="75"/>
      <c r="T11" s="74">
        <v>8800</v>
      </c>
      <c r="U11" s="75"/>
      <c r="V11" s="74">
        <v>8800</v>
      </c>
      <c r="W11" s="75"/>
      <c r="X11" s="74">
        <v>8800</v>
      </c>
      <c r="Y11" s="75"/>
      <c r="Z11" s="159">
        <v>8800</v>
      </c>
      <c r="AA11" s="75"/>
      <c r="AB11" s="76"/>
      <c r="AC11" s="77"/>
    </row>
    <row r="12" spans="1:29" ht="24" customHeight="1">
      <c r="A12" s="65" t="s">
        <v>49</v>
      </c>
      <c r="B12" s="66"/>
      <c r="C12" s="67"/>
      <c r="D12" s="58">
        <v>1375</v>
      </c>
      <c r="E12" s="59"/>
      <c r="F12" s="58">
        <v>1375</v>
      </c>
      <c r="G12" s="59"/>
      <c r="H12" s="58">
        <v>1375</v>
      </c>
      <c r="I12" s="59"/>
      <c r="J12" s="58">
        <v>1375</v>
      </c>
      <c r="K12" s="59"/>
      <c r="L12" s="58">
        <v>1375</v>
      </c>
      <c r="M12" s="59"/>
      <c r="N12" s="58">
        <v>1375</v>
      </c>
      <c r="O12" s="59"/>
      <c r="P12" s="58">
        <v>1375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149">
        <v>1250</v>
      </c>
      <c r="AA12" s="59"/>
      <c r="AB12" s="78"/>
      <c r="AC12" s="79"/>
    </row>
    <row r="13" spans="1:29" ht="24" customHeight="1">
      <c r="A13" s="89" t="s">
        <v>98</v>
      </c>
      <c r="B13" s="90"/>
      <c r="C13" s="66"/>
      <c r="D13" s="58">
        <v>11000</v>
      </c>
      <c r="E13" s="59"/>
      <c r="F13" s="58">
        <v>11000</v>
      </c>
      <c r="G13" s="59"/>
      <c r="H13" s="58">
        <v>11000</v>
      </c>
      <c r="I13" s="59"/>
      <c r="J13" s="58">
        <v>11000</v>
      </c>
      <c r="K13" s="59"/>
      <c r="L13" s="58">
        <v>11000</v>
      </c>
      <c r="M13" s="59"/>
      <c r="N13" s="58">
        <v>11000</v>
      </c>
      <c r="O13" s="59"/>
      <c r="P13" s="58">
        <v>11000</v>
      </c>
      <c r="Q13" s="59"/>
      <c r="R13" s="58">
        <v>11000</v>
      </c>
      <c r="S13" s="59"/>
      <c r="T13" s="58">
        <v>11000</v>
      </c>
      <c r="U13" s="59"/>
      <c r="V13" s="58">
        <v>11000</v>
      </c>
      <c r="W13" s="59"/>
      <c r="X13" s="58">
        <v>11000</v>
      </c>
      <c r="Y13" s="59"/>
      <c r="Z13" s="58">
        <v>11000</v>
      </c>
      <c r="AA13" s="79"/>
      <c r="AB13" s="78"/>
      <c r="AC13" s="79"/>
    </row>
    <row r="14" spans="1:29" ht="24" customHeight="1" thickBot="1">
      <c r="A14" s="160" t="s">
        <v>50</v>
      </c>
      <c r="B14" s="161"/>
      <c r="C14" s="162"/>
      <c r="D14" s="163">
        <v>1718</v>
      </c>
      <c r="E14" s="164"/>
      <c r="F14" s="163">
        <v>1718</v>
      </c>
      <c r="G14" s="164"/>
      <c r="H14" s="163">
        <v>1718</v>
      </c>
      <c r="I14" s="164"/>
      <c r="J14" s="163">
        <v>1718</v>
      </c>
      <c r="K14" s="164"/>
      <c r="L14" s="163">
        <v>1718</v>
      </c>
      <c r="M14" s="164"/>
      <c r="N14" s="163">
        <v>1718</v>
      </c>
      <c r="O14" s="164"/>
      <c r="P14" s="163">
        <v>1718</v>
      </c>
      <c r="Q14" s="164"/>
      <c r="R14" s="163">
        <v>1562</v>
      </c>
      <c r="S14" s="164"/>
      <c r="T14" s="163">
        <v>1562</v>
      </c>
      <c r="U14" s="164"/>
      <c r="V14" s="163">
        <v>1562</v>
      </c>
      <c r="W14" s="164"/>
      <c r="X14" s="163">
        <v>1562</v>
      </c>
      <c r="Y14" s="164"/>
      <c r="Z14" s="165">
        <v>1562</v>
      </c>
      <c r="AA14" s="164"/>
      <c r="AB14" s="166"/>
      <c r="AC14" s="167"/>
    </row>
    <row r="15" spans="1:29" ht="24" customHeight="1" thickTop="1">
      <c r="A15" s="91" t="s">
        <v>42</v>
      </c>
      <c r="B15" s="20" t="s">
        <v>54</v>
      </c>
      <c r="C15" s="22" t="s">
        <v>43</v>
      </c>
      <c r="D15" s="74">
        <v>20194</v>
      </c>
      <c r="E15" s="75"/>
      <c r="F15" s="74">
        <v>30000</v>
      </c>
      <c r="G15" s="75"/>
      <c r="H15" s="74">
        <v>14250</v>
      </c>
      <c r="I15" s="75"/>
      <c r="J15" s="74">
        <f>2500*13</f>
        <v>32500</v>
      </c>
      <c r="K15" s="75"/>
      <c r="L15" s="74">
        <v>22500</v>
      </c>
      <c r="M15" s="75"/>
      <c r="N15" s="74">
        <f>2500*6</f>
        <v>15000</v>
      </c>
      <c r="O15" s="75"/>
      <c r="P15" s="74">
        <f>2500*16</f>
        <v>40000</v>
      </c>
      <c r="Q15" s="75"/>
      <c r="R15" s="74">
        <v>25000</v>
      </c>
      <c r="S15" s="75"/>
      <c r="T15" s="74">
        <v>30000</v>
      </c>
      <c r="U15" s="75"/>
      <c r="V15" s="74">
        <v>50000</v>
      </c>
      <c r="W15" s="75"/>
      <c r="X15" s="74">
        <v>50000</v>
      </c>
      <c r="Y15" s="75"/>
      <c r="Z15" s="159">
        <v>40000</v>
      </c>
      <c r="AA15" s="75"/>
      <c r="AB15" s="135"/>
      <c r="AC15" s="136"/>
    </row>
    <row r="16" spans="1:29" ht="24" customHeight="1">
      <c r="A16" s="92"/>
      <c r="B16" s="21"/>
      <c r="C16" s="19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>
        <v>10000</v>
      </c>
      <c r="U16" s="59"/>
      <c r="V16" s="58">
        <v>5000</v>
      </c>
      <c r="W16" s="59"/>
      <c r="X16" s="58">
        <v>5000</v>
      </c>
      <c r="Y16" s="59"/>
      <c r="Z16" s="149"/>
      <c r="AA16" s="59"/>
      <c r="AB16" s="137"/>
      <c r="AC16" s="138"/>
    </row>
    <row r="17" spans="1:31" ht="24" customHeight="1">
      <c r="A17" s="92"/>
      <c r="B17" s="21"/>
      <c r="C17" s="19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149"/>
      <c r="AA17" s="79"/>
      <c r="AB17" s="137"/>
      <c r="AC17" s="138"/>
    </row>
    <row r="18" spans="1:31" ht="24" customHeight="1">
      <c r="A18" s="92"/>
      <c r="B18" s="94" t="s">
        <v>28</v>
      </c>
      <c r="C18" s="95"/>
      <c r="D18" s="58">
        <v>1620</v>
      </c>
      <c r="E18" s="59"/>
      <c r="F18" s="58">
        <v>5000</v>
      </c>
      <c r="G18" s="59"/>
      <c r="H18" s="58">
        <v>3592</v>
      </c>
      <c r="I18" s="59"/>
      <c r="J18" s="58">
        <v>5437</v>
      </c>
      <c r="K18" s="59"/>
      <c r="L18" s="58">
        <v>3000</v>
      </c>
      <c r="M18" s="59"/>
      <c r="N18" s="58">
        <v>3000</v>
      </c>
      <c r="O18" s="59"/>
      <c r="P18" s="58">
        <v>4032</v>
      </c>
      <c r="Q18" s="59"/>
      <c r="R18" s="58">
        <v>3832</v>
      </c>
      <c r="S18" s="59"/>
      <c r="T18" s="58">
        <v>8176</v>
      </c>
      <c r="U18" s="59"/>
      <c r="V18" s="58">
        <v>6080</v>
      </c>
      <c r="W18" s="59"/>
      <c r="X18" s="58">
        <v>11968</v>
      </c>
      <c r="Y18" s="59"/>
      <c r="Z18" s="149">
        <v>4496</v>
      </c>
      <c r="AA18" s="59"/>
      <c r="AB18" s="137"/>
      <c r="AC18" s="138"/>
    </row>
    <row r="19" spans="1:31" ht="24" customHeight="1">
      <c r="A19" s="92"/>
      <c r="B19" s="94" t="s">
        <v>29</v>
      </c>
      <c r="C19" s="95"/>
      <c r="D19" s="58"/>
      <c r="E19" s="59"/>
      <c r="F19" s="58"/>
      <c r="G19" s="59"/>
      <c r="H19" s="58">
        <v>900</v>
      </c>
      <c r="I19" s="59"/>
      <c r="J19" s="58"/>
      <c r="K19" s="59"/>
      <c r="L19" s="58"/>
      <c r="M19" s="59"/>
      <c r="N19" s="58"/>
      <c r="O19" s="59"/>
      <c r="P19" s="58"/>
      <c r="Q19" s="59"/>
      <c r="R19" s="58">
        <v>750</v>
      </c>
      <c r="S19" s="59"/>
      <c r="T19" s="58"/>
      <c r="U19" s="59"/>
      <c r="V19" s="58"/>
      <c r="W19" s="59"/>
      <c r="X19" s="58"/>
      <c r="Y19" s="59"/>
      <c r="Z19" s="149"/>
      <c r="AA19" s="59"/>
      <c r="AB19" s="137"/>
      <c r="AC19" s="138"/>
    </row>
    <row r="20" spans="1:31" ht="24" customHeight="1" thickBot="1">
      <c r="A20" s="93"/>
      <c r="B20" s="52" t="s">
        <v>30</v>
      </c>
      <c r="C20" s="48"/>
      <c r="D20" s="85"/>
      <c r="E20" s="86"/>
      <c r="F20" s="85"/>
      <c r="G20" s="86"/>
      <c r="H20" s="85"/>
      <c r="I20" s="86"/>
      <c r="J20" s="85"/>
      <c r="K20" s="86"/>
      <c r="L20" s="85"/>
      <c r="M20" s="86"/>
      <c r="N20" s="85"/>
      <c r="O20" s="86"/>
      <c r="P20" s="85">
        <v>1500</v>
      </c>
      <c r="Q20" s="86"/>
      <c r="R20" s="85"/>
      <c r="S20" s="86"/>
      <c r="T20" s="85"/>
      <c r="U20" s="86"/>
      <c r="V20" s="85"/>
      <c r="W20" s="86"/>
      <c r="X20" s="85"/>
      <c r="Y20" s="86"/>
      <c r="Z20" s="168"/>
      <c r="AA20" s="86"/>
      <c r="AB20" s="139"/>
      <c r="AC20" s="140"/>
      <c r="AE20" s="33">
        <f>R21-222704</f>
        <v>0</v>
      </c>
    </row>
    <row r="21" spans="1:31" ht="24" customHeight="1" thickTop="1">
      <c r="A21" s="71" t="s">
        <v>31</v>
      </c>
      <c r="B21" s="72"/>
      <c r="C21" s="73"/>
      <c r="D21" s="74">
        <f>D7*D11+D8*D13+D9*D14+D10*D12+D15+D18</f>
        <v>176559</v>
      </c>
      <c r="E21" s="75"/>
      <c r="F21" s="74">
        <f>INT(F7*F11+F9*F12+F18+F20+F8*F13+F10*F12+F15)</f>
        <v>198212</v>
      </c>
      <c r="G21" s="75"/>
      <c r="H21" s="74">
        <f>INT(H7*H11+H8*H13+H10*H12+H15+H16+H17+H18+H19+H20)</f>
        <v>159542</v>
      </c>
      <c r="I21" s="75"/>
      <c r="J21" s="74">
        <f>INT(J7*J11+J9*J12+J18+J20+J15+J10*J12)</f>
        <v>238412</v>
      </c>
      <c r="K21" s="75"/>
      <c r="L21" s="74">
        <f>INT(L7*L11+L8*L13+L10*L12+L15+L16+L17+L18+L19+L20)</f>
        <v>122300</v>
      </c>
      <c r="M21" s="75"/>
      <c r="N21" s="74">
        <f>INT(N7*N11+N8*N13+N10*N12+N15+N16+N17+N18+N19+N20)</f>
        <v>114800</v>
      </c>
      <c r="O21" s="75"/>
      <c r="P21" s="74">
        <f>INT(P7*P11+P8*P13+P10*P12+P15+P16+P17+P18+P19+P20)</f>
        <v>212732</v>
      </c>
      <c r="Q21" s="75"/>
      <c r="R21" s="74">
        <f>INT(R7*R11+R8*R13+R10*R12+R15+R16+R17+R18+R19+R20+R9*R14)</f>
        <v>222704</v>
      </c>
      <c r="S21" s="75"/>
      <c r="T21" s="74">
        <f>INT(T7*T11+T8*T13+T10*T12+T15+T16+T17+T18+T19+T20+T9*T14)</f>
        <v>291770</v>
      </c>
      <c r="U21" s="75"/>
      <c r="V21" s="74">
        <f>INT(V7*V11+V8*V13+V10*V12+V15+V16+V17+V18+V19+V20+V9*V14)</f>
        <v>316064</v>
      </c>
      <c r="W21" s="75"/>
      <c r="X21" s="74">
        <f>INT(X7*X11+X8*X13+X10*X12+X15+X16+X17+X18+X19+X20+X9*X14)</f>
        <v>290580</v>
      </c>
      <c r="Y21" s="75"/>
      <c r="Z21" s="159">
        <f>INT(Z7*Z11+Z8*Z13+Z10*Z12+Z15+Z16+Z17+Z18+Z19+Z20)</f>
        <v>214096</v>
      </c>
      <c r="AA21" s="75"/>
      <c r="AB21" s="141"/>
      <c r="AC21" s="142"/>
    </row>
    <row r="22" spans="1:31" ht="24" customHeight="1" thickBot="1">
      <c r="A22" s="169" t="s">
        <v>39</v>
      </c>
      <c r="B22" s="170"/>
      <c r="C22" s="171"/>
      <c r="D22" s="101"/>
      <c r="E22" s="102"/>
      <c r="F22" s="101"/>
      <c r="G22" s="102"/>
      <c r="H22" s="101"/>
      <c r="I22" s="102"/>
      <c r="J22" s="101"/>
      <c r="K22" s="102"/>
      <c r="L22" s="101">
        <v>30000</v>
      </c>
      <c r="M22" s="102"/>
      <c r="N22" s="101"/>
      <c r="O22" s="102"/>
      <c r="P22" s="101"/>
      <c r="Q22" s="102"/>
      <c r="R22" s="101"/>
      <c r="S22" s="102"/>
      <c r="T22" s="101">
        <v>30000</v>
      </c>
      <c r="U22" s="102"/>
      <c r="V22" s="101"/>
      <c r="W22" s="102"/>
      <c r="X22" s="101"/>
      <c r="Y22" s="102"/>
      <c r="Z22" s="154"/>
      <c r="AA22" s="123"/>
      <c r="AB22" s="152"/>
      <c r="AC22" s="153"/>
    </row>
    <row r="23" spans="1:31" ht="24" customHeight="1" thickBot="1">
      <c r="A23" s="117" t="s">
        <v>20</v>
      </c>
      <c r="B23" s="118"/>
      <c r="C23" s="119"/>
      <c r="D23" s="105">
        <f>D21</f>
        <v>176559</v>
      </c>
      <c r="E23" s="106"/>
      <c r="F23" s="105">
        <f>F21+F22</f>
        <v>198212</v>
      </c>
      <c r="G23" s="106"/>
      <c r="H23" s="105">
        <f>H21+H22</f>
        <v>159542</v>
      </c>
      <c r="I23" s="106"/>
      <c r="J23" s="105">
        <f>J21+J22</f>
        <v>238412</v>
      </c>
      <c r="K23" s="106"/>
      <c r="L23" s="105">
        <f>L21+L22</f>
        <v>152300</v>
      </c>
      <c r="M23" s="106"/>
      <c r="N23" s="105">
        <f>N21+N22</f>
        <v>114800</v>
      </c>
      <c r="O23" s="106"/>
      <c r="P23" s="105">
        <f>P21+P22</f>
        <v>212732</v>
      </c>
      <c r="Q23" s="106"/>
      <c r="R23" s="105">
        <f>R21+R22</f>
        <v>222704</v>
      </c>
      <c r="S23" s="106"/>
      <c r="T23" s="105">
        <f>T21+T22</f>
        <v>321770</v>
      </c>
      <c r="U23" s="106"/>
      <c r="V23" s="105">
        <f>V21+V22</f>
        <v>316064</v>
      </c>
      <c r="W23" s="106"/>
      <c r="X23" s="105">
        <f>X21+X22</f>
        <v>290580</v>
      </c>
      <c r="Y23" s="106"/>
      <c r="Z23" s="173">
        <f>Z21+Z22</f>
        <v>214096</v>
      </c>
      <c r="AA23" s="106"/>
      <c r="AB23" s="147"/>
      <c r="AC23" s="148"/>
    </row>
    <row r="24" spans="1:31" ht="24" customHeight="1">
      <c r="A24" s="109" t="s">
        <v>33</v>
      </c>
      <c r="B24" s="113" t="s">
        <v>34</v>
      </c>
      <c r="C24" s="114"/>
      <c r="D24" s="115">
        <f>530</f>
        <v>530</v>
      </c>
      <c r="E24" s="116"/>
      <c r="F24" s="115">
        <v>595</v>
      </c>
      <c r="G24" s="116"/>
      <c r="H24" s="115">
        <v>479</v>
      </c>
      <c r="I24" s="116"/>
      <c r="J24" s="115">
        <f t="shared" ref="J24" si="0">J23*0.003</f>
        <v>715.23599999999999</v>
      </c>
      <c r="K24" s="116"/>
      <c r="L24" s="115">
        <f t="shared" ref="L24" si="1">L23*0.003</f>
        <v>456.90000000000003</v>
      </c>
      <c r="M24" s="116"/>
      <c r="N24" s="115">
        <f t="shared" ref="N24" si="2">N23*0.003</f>
        <v>344.40000000000003</v>
      </c>
      <c r="O24" s="116"/>
      <c r="P24" s="115">
        <f t="shared" ref="P24" si="3">P23*0.003</f>
        <v>638.19600000000003</v>
      </c>
      <c r="Q24" s="116"/>
      <c r="R24" s="115">
        <f t="shared" ref="R24" si="4">R23*0.003</f>
        <v>668.11199999999997</v>
      </c>
      <c r="S24" s="116"/>
      <c r="T24" s="115">
        <f t="shared" ref="T24" si="5">T23*0.003</f>
        <v>965.31000000000006</v>
      </c>
      <c r="U24" s="116"/>
      <c r="V24" s="115">
        <f t="shared" ref="V24" si="6">V23*0.003</f>
        <v>948.19200000000001</v>
      </c>
      <c r="W24" s="116"/>
      <c r="X24" s="115">
        <f t="shared" ref="X24:Z24" si="7">X23*0.003</f>
        <v>871.74</v>
      </c>
      <c r="Y24" s="116"/>
      <c r="Z24" s="172">
        <f t="shared" si="7"/>
        <v>642.28800000000001</v>
      </c>
      <c r="AA24" s="116"/>
      <c r="AB24" s="150"/>
      <c r="AC24" s="151"/>
    </row>
    <row r="25" spans="1:31" ht="24" customHeight="1">
      <c r="A25" s="110"/>
      <c r="B25" s="94" t="s">
        <v>35</v>
      </c>
      <c r="C25" s="95"/>
      <c r="D25" s="58">
        <v>4340</v>
      </c>
      <c r="E25" s="59"/>
      <c r="F25" s="58">
        <v>5120</v>
      </c>
      <c r="G25" s="59"/>
      <c r="H25" s="58">
        <v>3550</v>
      </c>
      <c r="I25" s="59"/>
      <c r="J25" s="58">
        <v>6210</v>
      </c>
      <c r="K25" s="59"/>
      <c r="L25" s="58">
        <v>3270</v>
      </c>
      <c r="M25" s="59"/>
      <c r="N25" s="58">
        <v>2050</v>
      </c>
      <c r="O25" s="59"/>
      <c r="P25" s="58">
        <v>5410</v>
      </c>
      <c r="Q25" s="59"/>
      <c r="R25" s="58">
        <v>5780</v>
      </c>
      <c r="S25" s="59"/>
      <c r="T25" s="58">
        <v>10140</v>
      </c>
      <c r="U25" s="59"/>
      <c r="V25" s="58">
        <v>10000</v>
      </c>
      <c r="W25" s="59"/>
      <c r="X25" s="58">
        <v>10000</v>
      </c>
      <c r="Y25" s="59"/>
      <c r="Z25" s="149">
        <v>6850</v>
      </c>
      <c r="AA25" s="59"/>
      <c r="AB25" s="137"/>
      <c r="AC25" s="138"/>
    </row>
    <row r="26" spans="1:31" ht="24" customHeight="1">
      <c r="A26" s="110"/>
      <c r="B26" s="94" t="s">
        <v>47</v>
      </c>
      <c r="C26" s="95"/>
      <c r="D26" s="58">
        <v>8800</v>
      </c>
      <c r="E26" s="59"/>
      <c r="F26" s="58">
        <v>8800</v>
      </c>
      <c r="G26" s="59"/>
      <c r="H26" s="58">
        <v>4700</v>
      </c>
      <c r="I26" s="59"/>
      <c r="J26" s="58">
        <v>3600</v>
      </c>
      <c r="K26" s="59"/>
      <c r="L26" s="58">
        <v>3600</v>
      </c>
      <c r="M26" s="59"/>
      <c r="N26" s="58">
        <v>3600</v>
      </c>
      <c r="O26" s="59"/>
      <c r="P26" s="58">
        <v>3600</v>
      </c>
      <c r="Q26" s="59"/>
      <c r="R26" s="58">
        <v>3600</v>
      </c>
      <c r="S26" s="59"/>
      <c r="T26" s="58">
        <v>3600</v>
      </c>
      <c r="U26" s="59"/>
      <c r="V26" s="58">
        <v>3600</v>
      </c>
      <c r="W26" s="59"/>
      <c r="X26" s="58">
        <v>3600</v>
      </c>
      <c r="Y26" s="59"/>
      <c r="Z26" s="149">
        <v>3600</v>
      </c>
      <c r="AA26" s="59"/>
      <c r="AB26" s="137"/>
      <c r="AC26" s="138"/>
    </row>
    <row r="27" spans="1:31" ht="24" customHeight="1">
      <c r="A27" s="111"/>
      <c r="B27" s="94" t="s">
        <v>48</v>
      </c>
      <c r="C27" s="95"/>
      <c r="D27" s="83">
        <v>5767</v>
      </c>
      <c r="E27" s="84"/>
      <c r="F27" s="83">
        <v>5767</v>
      </c>
      <c r="G27" s="84"/>
      <c r="H27" s="83">
        <v>5767</v>
      </c>
      <c r="I27" s="84"/>
      <c r="J27" s="83">
        <v>5767</v>
      </c>
      <c r="K27" s="84"/>
      <c r="L27" s="83">
        <v>5767</v>
      </c>
      <c r="M27" s="84"/>
      <c r="N27" s="83">
        <v>11990</v>
      </c>
      <c r="O27" s="84"/>
      <c r="P27" s="83">
        <v>11990</v>
      </c>
      <c r="Q27" s="84"/>
      <c r="R27" s="83">
        <v>0</v>
      </c>
      <c r="S27" s="84"/>
      <c r="T27" s="174">
        <v>0</v>
      </c>
      <c r="U27" s="175"/>
      <c r="V27" s="83">
        <v>0</v>
      </c>
      <c r="W27" s="84"/>
      <c r="X27" s="83">
        <v>0</v>
      </c>
      <c r="Y27" s="84"/>
      <c r="Z27" s="131">
        <v>0</v>
      </c>
      <c r="AA27" s="84"/>
      <c r="AB27" s="141"/>
      <c r="AC27" s="142"/>
    </row>
    <row r="28" spans="1:31" ht="24" customHeight="1" thickBot="1">
      <c r="A28" s="71" t="s">
        <v>36</v>
      </c>
      <c r="B28" s="72"/>
      <c r="C28" s="73"/>
      <c r="D28" s="83">
        <f>SUM(D24:D27)</f>
        <v>19437</v>
      </c>
      <c r="E28" s="84"/>
      <c r="F28" s="83">
        <f>SUM(F24:F27)</f>
        <v>20282</v>
      </c>
      <c r="G28" s="84"/>
      <c r="H28" s="83">
        <f>SUM(H24:H27)</f>
        <v>14496</v>
      </c>
      <c r="I28" s="84"/>
      <c r="J28" s="83">
        <f>SUM(J24:J27)</f>
        <v>16292.236000000001</v>
      </c>
      <c r="K28" s="84"/>
      <c r="L28" s="83">
        <v>43094</v>
      </c>
      <c r="M28" s="84"/>
      <c r="N28" s="83">
        <f>SUM(N24:N27)</f>
        <v>17984.400000000001</v>
      </c>
      <c r="O28" s="84"/>
      <c r="P28" s="83">
        <f>SUM(P24:P27)</f>
        <v>21638.196</v>
      </c>
      <c r="Q28" s="84"/>
      <c r="R28" s="83">
        <f>SUM(R24:R27)</f>
        <v>10048.112000000001</v>
      </c>
      <c r="S28" s="84"/>
      <c r="T28" s="83">
        <v>44705</v>
      </c>
      <c r="U28" s="84"/>
      <c r="V28" s="83">
        <f>SUM(V24:V27)</f>
        <v>14548.191999999999</v>
      </c>
      <c r="W28" s="84"/>
      <c r="X28" s="83">
        <f>SUM(X24:X27)</f>
        <v>14471.74</v>
      </c>
      <c r="Y28" s="84"/>
      <c r="Z28" s="131">
        <f>SUM(Z24:Z27)</f>
        <v>11092.288</v>
      </c>
      <c r="AA28" s="84"/>
      <c r="AB28" s="141">
        <f>SUM(AB24:AB27)</f>
        <v>0</v>
      </c>
      <c r="AC28" s="142"/>
    </row>
    <row r="29" spans="1:31" ht="24" customHeight="1" thickTop="1" thickBot="1">
      <c r="A29" s="132" t="s">
        <v>37</v>
      </c>
      <c r="B29" s="133"/>
      <c r="C29" s="134"/>
      <c r="D29" s="126">
        <f>D23-D28</f>
        <v>157122</v>
      </c>
      <c r="E29" s="127"/>
      <c r="F29" s="126">
        <f>F23-F28</f>
        <v>177930</v>
      </c>
      <c r="G29" s="127"/>
      <c r="H29" s="126">
        <f>H23-H28</f>
        <v>145046</v>
      </c>
      <c r="I29" s="127"/>
      <c r="J29" s="126">
        <f>J23-J28</f>
        <v>222119.764</v>
      </c>
      <c r="K29" s="127"/>
      <c r="L29" s="126">
        <f>L23-L28</f>
        <v>109206</v>
      </c>
      <c r="M29" s="127"/>
      <c r="N29" s="126">
        <f>N23-N28</f>
        <v>96815.6</v>
      </c>
      <c r="O29" s="127"/>
      <c r="P29" s="126">
        <f>P23-P28</f>
        <v>191093.804</v>
      </c>
      <c r="Q29" s="127"/>
      <c r="R29" s="126">
        <f>R23-R28</f>
        <v>212655.88800000001</v>
      </c>
      <c r="S29" s="127"/>
      <c r="T29" s="126">
        <f>T23-T28</f>
        <v>277065</v>
      </c>
      <c r="U29" s="127"/>
      <c r="V29" s="126">
        <f>V23-V28</f>
        <v>301515.80800000002</v>
      </c>
      <c r="W29" s="127"/>
      <c r="X29" s="126">
        <f>X21-X28</f>
        <v>276108.26</v>
      </c>
      <c r="Y29" s="127"/>
      <c r="Z29" s="128">
        <f>Z21-Z28</f>
        <v>203003.712</v>
      </c>
      <c r="AA29" s="127"/>
      <c r="AB29" s="155"/>
      <c r="AC29" s="156"/>
    </row>
    <row r="33" spans="14:14">
      <c r="N33" s="1">
        <v>5340</v>
      </c>
    </row>
  </sheetData>
  <mergeCells count="294">
    <mergeCell ref="A12:C12"/>
    <mergeCell ref="D12:E12"/>
    <mergeCell ref="F12:G12"/>
    <mergeCell ref="H12:I12"/>
    <mergeCell ref="J12:K12"/>
    <mergeCell ref="F17:G17"/>
    <mergeCell ref="D17:E17"/>
    <mergeCell ref="R22:S22"/>
    <mergeCell ref="X17:Y17"/>
    <mergeCell ref="V17:W17"/>
    <mergeCell ref="T17:U17"/>
    <mergeCell ref="R17:S17"/>
    <mergeCell ref="P17:Q17"/>
    <mergeCell ref="N17:O17"/>
    <mergeCell ref="L17:M17"/>
    <mergeCell ref="J17:K17"/>
    <mergeCell ref="H17:I17"/>
    <mergeCell ref="R18:S18"/>
    <mergeCell ref="T18:U18"/>
    <mergeCell ref="V18:W18"/>
    <mergeCell ref="X18:Y18"/>
    <mergeCell ref="N20:O20"/>
    <mergeCell ref="P20:Q20"/>
    <mergeCell ref="T22:U22"/>
    <mergeCell ref="A10:C10"/>
    <mergeCell ref="A11:C11"/>
    <mergeCell ref="D11:E11"/>
    <mergeCell ref="F11:G11"/>
    <mergeCell ref="H11:I11"/>
    <mergeCell ref="V11:W11"/>
    <mergeCell ref="X11:Y11"/>
    <mergeCell ref="Z11:AA11"/>
    <mergeCell ref="AB11:AC11"/>
    <mergeCell ref="R11:S11"/>
    <mergeCell ref="T11:U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Z12:AA12"/>
    <mergeCell ref="AB12:AC12"/>
    <mergeCell ref="R12:S12"/>
    <mergeCell ref="T12:U12"/>
    <mergeCell ref="V12:W12"/>
    <mergeCell ref="X12:Y12"/>
    <mergeCell ref="X6:Y6"/>
    <mergeCell ref="Z6:AA6"/>
    <mergeCell ref="AB6:AC6"/>
    <mergeCell ref="N13:O13"/>
    <mergeCell ref="P13:Q13"/>
    <mergeCell ref="N12:O12"/>
    <mergeCell ref="P12:Q12"/>
    <mergeCell ref="L12:M12"/>
    <mergeCell ref="J11:K11"/>
    <mergeCell ref="L11:M11"/>
    <mergeCell ref="N11:O11"/>
    <mergeCell ref="P11:Q11"/>
    <mergeCell ref="F14:G14"/>
    <mergeCell ref="H14:I14"/>
    <mergeCell ref="J14:K14"/>
    <mergeCell ref="L14:M14"/>
    <mergeCell ref="A13:C13"/>
    <mergeCell ref="D13:E13"/>
    <mergeCell ref="F13:G13"/>
    <mergeCell ref="H13:I13"/>
    <mergeCell ref="J13:K13"/>
    <mergeCell ref="L13:M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V22:W22"/>
    <mergeCell ref="X22:Y22"/>
    <mergeCell ref="Z23:AA23"/>
    <mergeCell ref="AB23:AC23"/>
    <mergeCell ref="A24:A27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A29:C29"/>
    <mergeCell ref="D29:E29"/>
    <mergeCell ref="F29:G29"/>
    <mergeCell ref="H29:I29"/>
    <mergeCell ref="J29:K29"/>
    <mergeCell ref="L29:M29"/>
    <mergeCell ref="N29:O29"/>
    <mergeCell ref="L28:M28"/>
    <mergeCell ref="N28:O28"/>
    <mergeCell ref="A28:C28"/>
    <mergeCell ref="D28:E28"/>
    <mergeCell ref="F28:G28"/>
    <mergeCell ref="H28:I28"/>
    <mergeCell ref="J28:K28"/>
    <mergeCell ref="AB13:AC13"/>
    <mergeCell ref="Z13:AA13"/>
    <mergeCell ref="X13:Y13"/>
    <mergeCell ref="V13:W13"/>
    <mergeCell ref="T13:U13"/>
    <mergeCell ref="R13:S13"/>
    <mergeCell ref="AB29:AC29"/>
    <mergeCell ref="P29:Q29"/>
    <mergeCell ref="R29:S29"/>
    <mergeCell ref="T29:U29"/>
    <mergeCell ref="V29:W29"/>
    <mergeCell ref="X29:Y29"/>
    <mergeCell ref="Z29:AA29"/>
    <mergeCell ref="X28:Y28"/>
    <mergeCell ref="Z28:AA28"/>
    <mergeCell ref="AB28:AC28"/>
    <mergeCell ref="P28:Q28"/>
    <mergeCell ref="R28:S28"/>
    <mergeCell ref="T28:U28"/>
    <mergeCell ref="V28:W28"/>
    <mergeCell ref="T27:U27"/>
    <mergeCell ref="V27:W27"/>
    <mergeCell ref="X27:Y27"/>
    <mergeCell ref="Z27:AA27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EFE7B-3B6F-4D9F-99B4-FF1514A72D49}">
  <sheetPr codeName="Sheet7">
    <tabColor theme="7"/>
  </sheetPr>
  <dimension ref="A1:AC30"/>
  <sheetViews>
    <sheetView topLeftCell="A2" workbookViewId="0">
      <selection activeCell="T9" sqref="T9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55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>
        <v>2</v>
      </c>
      <c r="E7" s="4" t="s">
        <v>21</v>
      </c>
      <c r="F7" s="3">
        <v>12</v>
      </c>
      <c r="G7" s="4" t="s">
        <v>21</v>
      </c>
      <c r="H7" s="3">
        <v>12</v>
      </c>
      <c r="I7" s="4" t="s">
        <v>21</v>
      </c>
      <c r="J7" s="3">
        <v>20</v>
      </c>
      <c r="K7" s="4" t="s">
        <v>21</v>
      </c>
      <c r="L7" s="3">
        <v>12</v>
      </c>
      <c r="M7" s="4" t="s">
        <v>21</v>
      </c>
      <c r="N7" s="3">
        <v>17</v>
      </c>
      <c r="O7" s="4" t="s">
        <v>21</v>
      </c>
      <c r="P7" s="3">
        <v>23</v>
      </c>
      <c r="Q7" s="4" t="s">
        <v>21</v>
      </c>
      <c r="R7" s="3">
        <v>21</v>
      </c>
      <c r="S7" s="4" t="s">
        <v>21</v>
      </c>
      <c r="T7" s="3">
        <v>18</v>
      </c>
      <c r="U7" s="4" t="s">
        <v>21</v>
      </c>
      <c r="V7" s="3">
        <v>17</v>
      </c>
      <c r="W7" s="4" t="s">
        <v>21</v>
      </c>
      <c r="X7" s="3">
        <v>11</v>
      </c>
      <c r="Y7" s="4" t="s">
        <v>21</v>
      </c>
      <c r="Z7" s="3">
        <v>18</v>
      </c>
      <c r="AA7" s="4" t="s">
        <v>21</v>
      </c>
      <c r="AB7" s="24"/>
      <c r="AC7" s="9" t="s">
        <v>21</v>
      </c>
    </row>
    <row r="8" spans="1:29" ht="24.75" customHeight="1">
      <c r="A8" s="65" t="s">
        <v>41</v>
      </c>
      <c r="B8" s="66"/>
      <c r="C8" s="67"/>
      <c r="D8" s="3">
        <v>10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>
        <v>1</v>
      </c>
      <c r="M8" s="4" t="s">
        <v>21</v>
      </c>
      <c r="N8" s="3"/>
      <c r="O8" s="4" t="s">
        <v>21</v>
      </c>
      <c r="P8" s="3"/>
      <c r="Q8" s="4" t="s">
        <v>21</v>
      </c>
      <c r="R8" s="3">
        <v>2</v>
      </c>
      <c r="S8" s="4" t="s">
        <v>21</v>
      </c>
      <c r="T8" s="3">
        <v>1</v>
      </c>
      <c r="U8" s="4" t="s">
        <v>21</v>
      </c>
      <c r="V8" s="3">
        <v>1</v>
      </c>
      <c r="W8" s="4" t="s">
        <v>21</v>
      </c>
      <c r="X8" s="3">
        <v>8</v>
      </c>
      <c r="Y8" s="4" t="s">
        <v>21</v>
      </c>
      <c r="Z8" s="3">
        <v>1</v>
      </c>
      <c r="AA8" s="4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>
        <v>0.5</v>
      </c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>
        <v>10</v>
      </c>
      <c r="U9" s="4" t="s">
        <v>22</v>
      </c>
      <c r="V9" s="3">
        <v>7</v>
      </c>
      <c r="W9" s="4" t="s">
        <v>22</v>
      </c>
      <c r="X9" s="3">
        <v>2.5</v>
      </c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5" t="s">
        <v>69</v>
      </c>
      <c r="B10" s="66"/>
      <c r="C10" s="67"/>
      <c r="D10" s="3">
        <v>24</v>
      </c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3</v>
      </c>
      <c r="S10" s="4" t="s">
        <v>22</v>
      </c>
      <c r="T10" s="3"/>
      <c r="U10" s="4" t="s">
        <v>22</v>
      </c>
      <c r="V10" s="3">
        <v>3</v>
      </c>
      <c r="W10" s="4" t="s">
        <v>22</v>
      </c>
      <c r="X10" s="3">
        <v>1</v>
      </c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>
        <v>8000</v>
      </c>
      <c r="E11" s="75"/>
      <c r="F11" s="74">
        <v>8000</v>
      </c>
      <c r="G11" s="75"/>
      <c r="H11" s="74">
        <v>8000</v>
      </c>
      <c r="I11" s="75"/>
      <c r="J11" s="74">
        <v>8000</v>
      </c>
      <c r="K11" s="75"/>
      <c r="L11" s="74">
        <v>8000</v>
      </c>
      <c r="M11" s="75"/>
      <c r="N11" s="74">
        <v>8000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159"/>
      <c r="AB11" s="135"/>
      <c r="AC11" s="136"/>
    </row>
    <row r="12" spans="1:29" ht="24.75" customHeight="1">
      <c r="A12" s="65" t="s">
        <v>49</v>
      </c>
      <c r="B12" s="66"/>
      <c r="C12" s="67"/>
      <c r="D12" s="58">
        <v>1250</v>
      </c>
      <c r="E12" s="59"/>
      <c r="F12" s="58">
        <v>1250</v>
      </c>
      <c r="G12" s="59"/>
      <c r="H12" s="58">
        <v>1250</v>
      </c>
      <c r="I12" s="59"/>
      <c r="J12" s="58">
        <v>1250</v>
      </c>
      <c r="K12" s="59"/>
      <c r="L12" s="58">
        <v>1250</v>
      </c>
      <c r="M12" s="59"/>
      <c r="N12" s="58">
        <v>1250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149"/>
      <c r="AB12" s="137"/>
      <c r="AC12" s="138"/>
    </row>
    <row r="13" spans="1:29" ht="24.75" customHeight="1">
      <c r="A13" s="89" t="s">
        <v>27</v>
      </c>
      <c r="B13" s="90"/>
      <c r="C13" s="66"/>
      <c r="D13" s="58">
        <v>10000</v>
      </c>
      <c r="E13" s="59"/>
      <c r="F13" s="58">
        <v>10000</v>
      </c>
      <c r="G13" s="59"/>
      <c r="H13" s="58">
        <v>10000</v>
      </c>
      <c r="I13" s="59"/>
      <c r="J13" s="58">
        <v>10000</v>
      </c>
      <c r="K13" s="59"/>
      <c r="L13" s="58">
        <v>10000</v>
      </c>
      <c r="M13" s="59"/>
      <c r="N13" s="58">
        <v>10000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149"/>
      <c r="AB13" s="137"/>
      <c r="AC13" s="138"/>
    </row>
    <row r="14" spans="1:29" ht="24.75" customHeight="1" thickBot="1">
      <c r="A14" s="80" t="s">
        <v>50</v>
      </c>
      <c r="B14" s="81"/>
      <c r="C14" s="82"/>
      <c r="D14" s="85">
        <v>1562</v>
      </c>
      <c r="E14" s="86"/>
      <c r="F14" s="85">
        <v>1562</v>
      </c>
      <c r="G14" s="86"/>
      <c r="H14" s="85">
        <v>1562</v>
      </c>
      <c r="I14" s="86"/>
      <c r="J14" s="85">
        <v>1562</v>
      </c>
      <c r="K14" s="86"/>
      <c r="L14" s="85">
        <v>1562</v>
      </c>
      <c r="M14" s="86"/>
      <c r="N14" s="85">
        <v>1562</v>
      </c>
      <c r="O14" s="86"/>
      <c r="P14" s="85">
        <v>1562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168"/>
      <c r="AB14" s="139"/>
      <c r="AC14" s="140"/>
    </row>
    <row r="15" spans="1:29" ht="24.75" customHeight="1" thickTop="1">
      <c r="A15" s="91" t="s">
        <v>42</v>
      </c>
      <c r="B15" s="20" t="s">
        <v>117</v>
      </c>
      <c r="C15" s="22" t="s">
        <v>43</v>
      </c>
      <c r="D15" s="74">
        <v>36718</v>
      </c>
      <c r="E15" s="75"/>
      <c r="F15" s="74"/>
      <c r="G15" s="75"/>
      <c r="H15" s="74"/>
      <c r="I15" s="75"/>
      <c r="J15" s="74"/>
      <c r="K15" s="75"/>
      <c r="L15" s="74">
        <v>3900</v>
      </c>
      <c r="M15" s="75"/>
      <c r="N15" s="74">
        <v>5100</v>
      </c>
      <c r="O15" s="75"/>
      <c r="P15" s="74">
        <v>13800</v>
      </c>
      <c r="Q15" s="75"/>
      <c r="R15" s="74">
        <v>12600</v>
      </c>
      <c r="S15" s="75"/>
      <c r="T15" s="74">
        <v>10800</v>
      </c>
      <c r="U15" s="75"/>
      <c r="V15" s="74">
        <v>10800</v>
      </c>
      <c r="W15" s="75"/>
      <c r="X15" s="74">
        <v>11400</v>
      </c>
      <c r="Y15" s="75"/>
      <c r="Z15" s="74">
        <v>11400</v>
      </c>
      <c r="AA15" s="75"/>
      <c r="AB15" s="141"/>
      <c r="AC15" s="142"/>
    </row>
    <row r="16" spans="1:29" ht="24.75" customHeight="1">
      <c r="A16" s="92"/>
      <c r="B16" s="18"/>
      <c r="C16" s="19" t="s">
        <v>44</v>
      </c>
      <c r="D16" s="58">
        <v>3600</v>
      </c>
      <c r="E16" s="59"/>
      <c r="F16" s="58">
        <v>3300</v>
      </c>
      <c r="G16" s="59"/>
      <c r="H16" s="58">
        <v>3600</v>
      </c>
      <c r="I16" s="59"/>
      <c r="J16" s="58">
        <v>6000</v>
      </c>
      <c r="K16" s="59"/>
      <c r="L16" s="58">
        <v>1750</v>
      </c>
      <c r="M16" s="59"/>
      <c r="N16" s="58"/>
      <c r="O16" s="59"/>
      <c r="P16" s="58"/>
      <c r="Q16" s="59"/>
      <c r="R16" s="58">
        <v>1200</v>
      </c>
      <c r="S16" s="59"/>
      <c r="T16" s="58">
        <v>13125</v>
      </c>
      <c r="U16" s="59"/>
      <c r="V16" s="58"/>
      <c r="W16" s="59"/>
      <c r="X16" s="58"/>
      <c r="Y16" s="59"/>
      <c r="Z16" s="58"/>
      <c r="AA16" s="59"/>
      <c r="AB16" s="137"/>
      <c r="AC16" s="138"/>
    </row>
    <row r="17" spans="1:29" ht="24.75" customHeight="1">
      <c r="A17" s="92"/>
      <c r="B17" s="18" t="s">
        <v>118</v>
      </c>
      <c r="C17" s="19" t="s">
        <v>45</v>
      </c>
      <c r="D17" s="58">
        <v>1800</v>
      </c>
      <c r="E17" s="59"/>
      <c r="F17" s="58">
        <v>1600</v>
      </c>
      <c r="G17" s="59"/>
      <c r="H17" s="58">
        <v>1600</v>
      </c>
      <c r="I17" s="59"/>
      <c r="J17" s="58">
        <v>3000</v>
      </c>
      <c r="K17" s="59"/>
      <c r="L17" s="58">
        <v>600</v>
      </c>
      <c r="M17" s="59"/>
      <c r="N17" s="58">
        <v>2800</v>
      </c>
      <c r="O17" s="59"/>
      <c r="P17" s="58">
        <v>7450</v>
      </c>
      <c r="Q17" s="59"/>
      <c r="R17" s="58">
        <v>5850</v>
      </c>
      <c r="S17" s="59"/>
      <c r="T17" s="58">
        <v>6500</v>
      </c>
      <c r="U17" s="59"/>
      <c r="V17" s="58">
        <v>900</v>
      </c>
      <c r="W17" s="59"/>
      <c r="X17" s="58">
        <v>6850</v>
      </c>
      <c r="Y17" s="59"/>
      <c r="Z17" s="58">
        <v>11700</v>
      </c>
      <c r="AA17" s="59"/>
      <c r="AB17" s="137"/>
      <c r="AC17" s="138"/>
    </row>
    <row r="18" spans="1:29" ht="24.75" customHeight="1">
      <c r="A18" s="92"/>
      <c r="B18" s="94" t="s">
        <v>28</v>
      </c>
      <c r="C18" s="95"/>
      <c r="D18" s="58">
        <v>3244</v>
      </c>
      <c r="E18" s="59"/>
      <c r="F18" s="58">
        <v>1440</v>
      </c>
      <c r="G18" s="59"/>
      <c r="H18" s="58">
        <v>2674</v>
      </c>
      <c r="I18" s="59"/>
      <c r="J18" s="58">
        <v>3127</v>
      </c>
      <c r="K18" s="59"/>
      <c r="L18" s="58">
        <v>5104</v>
      </c>
      <c r="M18" s="59"/>
      <c r="N18" s="58">
        <v>5526</v>
      </c>
      <c r="O18" s="59"/>
      <c r="P18" s="58">
        <v>3952</v>
      </c>
      <c r="Q18" s="59"/>
      <c r="R18" s="58">
        <v>5000</v>
      </c>
      <c r="S18" s="59"/>
      <c r="T18" s="58">
        <v>7030</v>
      </c>
      <c r="U18" s="59"/>
      <c r="V18" s="58">
        <v>3392</v>
      </c>
      <c r="W18" s="59"/>
      <c r="X18" s="58">
        <v>9085</v>
      </c>
      <c r="Y18" s="59"/>
      <c r="Z18" s="58">
        <v>8608</v>
      </c>
      <c r="AA18" s="59"/>
      <c r="AB18" s="137"/>
      <c r="AC18" s="138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37"/>
      <c r="AC19" s="138"/>
    </row>
    <row r="20" spans="1:29" ht="24.75" customHeight="1" thickBot="1">
      <c r="A20" s="93"/>
      <c r="B20" s="52" t="s">
        <v>30</v>
      </c>
      <c r="C20" s="48"/>
      <c r="D20" s="85">
        <v>2250</v>
      </c>
      <c r="E20" s="86"/>
      <c r="F20" s="85">
        <v>2000</v>
      </c>
      <c r="G20" s="86"/>
      <c r="H20" s="85">
        <v>14000</v>
      </c>
      <c r="I20" s="86"/>
      <c r="J20" s="85">
        <v>3750</v>
      </c>
      <c r="K20" s="86"/>
      <c r="L20" s="85">
        <v>30000</v>
      </c>
      <c r="M20" s="86"/>
      <c r="N20" s="85"/>
      <c r="O20" s="86"/>
      <c r="P20" s="85"/>
      <c r="Q20" s="86"/>
      <c r="R20" s="85"/>
      <c r="S20" s="86"/>
      <c r="T20" s="85">
        <v>20000</v>
      </c>
      <c r="U20" s="86"/>
      <c r="V20" s="85"/>
      <c r="W20" s="86"/>
      <c r="X20" s="85"/>
      <c r="Y20" s="86"/>
      <c r="Z20" s="85"/>
      <c r="AA20" s="86"/>
      <c r="AB20" s="139"/>
      <c r="AC20" s="140"/>
    </row>
    <row r="21" spans="1:29" ht="24.75" customHeight="1" thickTop="1">
      <c r="A21" s="71" t="s">
        <v>31</v>
      </c>
      <c r="B21" s="72"/>
      <c r="C21" s="73"/>
      <c r="D21" s="74">
        <f>INT(D7*D11+D8*D13+D10*D14+D15+D16+D17+D18+D20)</f>
        <v>201100</v>
      </c>
      <c r="E21" s="75"/>
      <c r="F21" s="74">
        <f t="shared" ref="F21" si="0">INT(F7*F11+F8*F13+F10*F12+F15+F16+F17+F18+F19+F20)</f>
        <v>104340</v>
      </c>
      <c r="G21" s="75"/>
      <c r="H21" s="74">
        <f>INT(H7*H11+H9*H12+H16+H17+H18+H20)</f>
        <v>118499</v>
      </c>
      <c r="I21" s="75"/>
      <c r="J21" s="74">
        <f>INT(J7*J11+J8*J12+J16+J17+J18+J20)</f>
        <v>175877</v>
      </c>
      <c r="K21" s="75"/>
      <c r="L21" s="74">
        <f t="shared" ref="L21" si="1">INT(L7*L11+L8*L13+L10*L12+L15+L16+L17+L18+L19+L20)</f>
        <v>147354</v>
      </c>
      <c r="M21" s="75"/>
      <c r="N21" s="74">
        <f t="shared" ref="N21" si="2">INT(N7*N11+N8*N13+N10*N12+N15+N16+N17+N18+N19+N20)</f>
        <v>149426</v>
      </c>
      <c r="O21" s="75"/>
      <c r="P21" s="74">
        <f t="shared" ref="P21" si="3">INT(P7*P11+P8*P13+P10*P12+P15+P16+P17+P18+P19+P20)</f>
        <v>209202</v>
      </c>
      <c r="Q21" s="75"/>
      <c r="R21" s="74">
        <f>INT(R7*R11+R8*R13+R10*R14+R15+R16+R17+R18+R19+R20)</f>
        <v>217336</v>
      </c>
      <c r="S21" s="75"/>
      <c r="T21" s="74">
        <f t="shared" ref="T21" si="4">INT(T7*T11+T8*T13+T10*T12+T15+T16+T17+T18+T19+T20)</f>
        <v>211455</v>
      </c>
      <c r="U21" s="75"/>
      <c r="V21" s="74">
        <f>INT(V7*V11+V8*V13+V9*V12+V15+V16+V17+V18+V19+V20+V10*V14)</f>
        <v>174528</v>
      </c>
      <c r="W21" s="75"/>
      <c r="X21" s="74">
        <f>INT(X7*X11+X8*X13+X9*X12+X15+X16+X17+X18+X19+X20+X10*X14)</f>
        <v>200022</v>
      </c>
      <c r="Y21" s="75"/>
      <c r="Z21" s="74">
        <f>INT(Z7*Z11+Z8*Z13+Z9*Z12+Z15+Z16+Z17+Z18+Z19+Z20)</f>
        <v>185708</v>
      </c>
      <c r="AA21" s="75"/>
      <c r="AB21" s="141">
        <f>D21+F21+H21+J21</f>
        <v>599816</v>
      </c>
      <c r="AC21" s="142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45"/>
      <c r="AC22" s="146"/>
    </row>
    <row r="23" spans="1:29" ht="24.75" customHeight="1" thickBot="1">
      <c r="A23" s="117" t="s">
        <v>20</v>
      </c>
      <c r="B23" s="118"/>
      <c r="C23" s="119"/>
      <c r="D23" s="105">
        <f>D21+D22</f>
        <v>201100</v>
      </c>
      <c r="E23" s="106"/>
      <c r="F23" s="105">
        <f t="shared" ref="F23" si="5">F21+F22</f>
        <v>104340</v>
      </c>
      <c r="G23" s="106"/>
      <c r="H23" s="105">
        <f t="shared" ref="H23" si="6">H21+H22</f>
        <v>118499</v>
      </c>
      <c r="I23" s="106"/>
      <c r="J23" s="105">
        <f t="shared" ref="J23" si="7">J21+J22</f>
        <v>175877</v>
      </c>
      <c r="K23" s="106"/>
      <c r="L23" s="105">
        <f t="shared" ref="L23" si="8">L21+L22</f>
        <v>147354</v>
      </c>
      <c r="M23" s="106"/>
      <c r="N23" s="105">
        <f t="shared" ref="N23" si="9">N21+N22</f>
        <v>149426</v>
      </c>
      <c r="O23" s="106"/>
      <c r="P23" s="105">
        <f t="shared" ref="P23" si="10">P21+P22</f>
        <v>209202</v>
      </c>
      <c r="Q23" s="106"/>
      <c r="R23" s="105">
        <f t="shared" ref="R23" si="11">R21+R22</f>
        <v>217336</v>
      </c>
      <c r="S23" s="106"/>
      <c r="T23" s="105">
        <f t="shared" ref="T23" si="12">T21+T22</f>
        <v>211455</v>
      </c>
      <c r="U23" s="106"/>
      <c r="V23" s="105">
        <f t="shared" ref="V23" si="13">V21+V22</f>
        <v>174528</v>
      </c>
      <c r="W23" s="106"/>
      <c r="X23" s="105">
        <f t="shared" ref="X23" si="14">X21+X22</f>
        <v>200022</v>
      </c>
      <c r="Y23" s="106"/>
      <c r="Z23" s="105">
        <f t="shared" ref="Z23" si="15">Z21+Z22</f>
        <v>185708</v>
      </c>
      <c r="AA23" s="106"/>
      <c r="AB23" s="147">
        <f>D23+F23+H23+J23+L23+N23</f>
        <v>896596</v>
      </c>
      <c r="AC23" s="148"/>
    </row>
    <row r="24" spans="1:29" ht="24.75" customHeight="1">
      <c r="A24" s="109" t="s">
        <v>33</v>
      </c>
      <c r="B24" s="113" t="s">
        <v>34</v>
      </c>
      <c r="C24" s="114"/>
      <c r="D24" s="115">
        <f>D23*0.003</f>
        <v>603.30000000000007</v>
      </c>
      <c r="E24" s="116"/>
      <c r="F24" s="115">
        <v>289</v>
      </c>
      <c r="G24" s="116"/>
      <c r="H24" s="115">
        <f t="shared" ref="H24" si="16">H23*0.003</f>
        <v>355.49700000000001</v>
      </c>
      <c r="I24" s="116"/>
      <c r="J24" s="115">
        <f t="shared" ref="J24" si="17">J23*0.003</f>
        <v>527.63099999999997</v>
      </c>
      <c r="K24" s="116"/>
      <c r="L24" s="115">
        <f t="shared" ref="L24" si="18">L23*0.003</f>
        <v>442.06200000000001</v>
      </c>
      <c r="M24" s="116"/>
      <c r="N24" s="115">
        <f t="shared" ref="N24" si="19">N23*0.003</f>
        <v>448.27800000000002</v>
      </c>
      <c r="O24" s="116"/>
      <c r="P24" s="115">
        <f t="shared" ref="P24" si="20">P23*0.003</f>
        <v>627.60599999999999</v>
      </c>
      <c r="Q24" s="116"/>
      <c r="R24" s="115">
        <f t="shared" ref="R24" si="21">R23*0.003</f>
        <v>652.00800000000004</v>
      </c>
      <c r="S24" s="116"/>
      <c r="T24" s="115">
        <f t="shared" ref="T24" si="22">T23*0.003</f>
        <v>634.36500000000001</v>
      </c>
      <c r="U24" s="116"/>
      <c r="V24" s="115">
        <f t="shared" ref="V24" si="23">V23*0.003</f>
        <v>523.58400000000006</v>
      </c>
      <c r="W24" s="116"/>
      <c r="X24" s="115">
        <f t="shared" ref="X24" si="24">X23*0.003</f>
        <v>600.06600000000003</v>
      </c>
      <c r="Y24" s="116"/>
      <c r="Z24" s="115">
        <f t="shared" ref="Z24" si="25">Z23*0.003</f>
        <v>557.12400000000002</v>
      </c>
      <c r="AA24" s="116"/>
      <c r="AB24" s="150"/>
      <c r="AC24" s="151"/>
    </row>
    <row r="25" spans="1:29" ht="24.75" customHeight="1">
      <c r="A25" s="110"/>
      <c r="B25" s="94" t="s">
        <v>35</v>
      </c>
      <c r="C25" s="95"/>
      <c r="D25" s="58">
        <v>4530</v>
      </c>
      <c r="E25" s="59"/>
      <c r="F25" s="58">
        <v>1230</v>
      </c>
      <c r="G25" s="59"/>
      <c r="H25" s="58">
        <v>1340</v>
      </c>
      <c r="I25" s="59"/>
      <c r="J25" s="58">
        <v>4050</v>
      </c>
      <c r="K25" s="59"/>
      <c r="L25" s="58">
        <v>3200</v>
      </c>
      <c r="M25" s="59"/>
      <c r="N25" s="58">
        <v>2860</v>
      </c>
      <c r="O25" s="59"/>
      <c r="P25" s="58">
        <v>4780</v>
      </c>
      <c r="Q25" s="59"/>
      <c r="R25" s="58">
        <v>2860</v>
      </c>
      <c r="S25" s="59"/>
      <c r="T25" s="58">
        <v>4700</v>
      </c>
      <c r="U25" s="59"/>
      <c r="V25" s="58">
        <v>3840</v>
      </c>
      <c r="W25" s="59"/>
      <c r="X25" s="58">
        <v>4910</v>
      </c>
      <c r="Y25" s="59"/>
      <c r="Z25" s="58">
        <v>4340</v>
      </c>
      <c r="AA25" s="59"/>
      <c r="AB25" s="137"/>
      <c r="AC25" s="138"/>
    </row>
    <row r="26" spans="1:29" ht="24.75" customHeight="1">
      <c r="A26" s="110"/>
      <c r="B26" s="94" t="s">
        <v>47</v>
      </c>
      <c r="C26" s="95"/>
      <c r="D26" s="58">
        <v>5600</v>
      </c>
      <c r="E26" s="59"/>
      <c r="F26" s="58">
        <v>5600</v>
      </c>
      <c r="G26" s="59"/>
      <c r="H26" s="58">
        <v>4400</v>
      </c>
      <c r="I26" s="59"/>
      <c r="J26" s="58">
        <v>4400</v>
      </c>
      <c r="K26" s="59"/>
      <c r="L26" s="58">
        <v>4400</v>
      </c>
      <c r="M26" s="59"/>
      <c r="N26" s="58">
        <v>4400</v>
      </c>
      <c r="O26" s="59"/>
      <c r="P26" s="58">
        <v>4400</v>
      </c>
      <c r="Q26" s="59"/>
      <c r="R26" s="58">
        <v>4400</v>
      </c>
      <c r="S26" s="59"/>
      <c r="T26" s="58">
        <v>4400</v>
      </c>
      <c r="U26" s="59"/>
      <c r="V26" s="58">
        <v>4400</v>
      </c>
      <c r="W26" s="59"/>
      <c r="X26" s="58">
        <v>4400</v>
      </c>
      <c r="Y26" s="59"/>
      <c r="Z26" s="58">
        <v>4400</v>
      </c>
      <c r="AA26" s="59"/>
      <c r="AB26" s="137"/>
      <c r="AC26" s="138"/>
    </row>
    <row r="27" spans="1:29" ht="24.75" customHeight="1">
      <c r="A27" s="111"/>
      <c r="B27" s="94" t="s">
        <v>48</v>
      </c>
      <c r="C27" s="95"/>
      <c r="D27" s="83">
        <v>22552</v>
      </c>
      <c r="E27" s="84"/>
      <c r="F27" s="83">
        <v>22552</v>
      </c>
      <c r="G27" s="84"/>
      <c r="H27" s="83">
        <v>22552</v>
      </c>
      <c r="I27" s="84"/>
      <c r="J27" s="83">
        <v>22552</v>
      </c>
      <c r="K27" s="84"/>
      <c r="L27" s="83">
        <v>22552</v>
      </c>
      <c r="M27" s="84"/>
      <c r="N27" s="83">
        <v>22717</v>
      </c>
      <c r="O27" s="84"/>
      <c r="P27" s="83">
        <v>22717</v>
      </c>
      <c r="Q27" s="84"/>
      <c r="R27" s="83">
        <v>22717</v>
      </c>
      <c r="S27" s="84"/>
      <c r="T27" s="83">
        <v>22717</v>
      </c>
      <c r="U27" s="84"/>
      <c r="V27" s="83">
        <v>22717</v>
      </c>
      <c r="W27" s="84"/>
      <c r="X27" s="83">
        <v>22717</v>
      </c>
      <c r="Y27" s="84"/>
      <c r="Z27" s="83">
        <v>22717</v>
      </c>
      <c r="AA27" s="84"/>
      <c r="AB27" s="141"/>
      <c r="AC27" s="142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>
        <v>30000</v>
      </c>
      <c r="M28" s="102"/>
      <c r="N28" s="101"/>
      <c r="O28" s="102"/>
      <c r="P28" s="101"/>
      <c r="Q28" s="102"/>
      <c r="R28" s="101"/>
      <c r="S28" s="102"/>
      <c r="T28" s="101">
        <v>20000</v>
      </c>
      <c r="U28" s="102"/>
      <c r="V28" s="101"/>
      <c r="W28" s="102"/>
      <c r="X28" s="101"/>
      <c r="Y28" s="102"/>
      <c r="Z28" s="101"/>
      <c r="AA28" s="102"/>
      <c r="AB28" s="152"/>
      <c r="AC28" s="153"/>
    </row>
    <row r="29" spans="1:29" ht="24.75" customHeight="1" thickBot="1">
      <c r="A29" s="71" t="s">
        <v>36</v>
      </c>
      <c r="B29" s="72"/>
      <c r="C29" s="73"/>
      <c r="D29" s="83">
        <f>SUM(D24:D28)</f>
        <v>33285.300000000003</v>
      </c>
      <c r="E29" s="84"/>
      <c r="F29" s="83">
        <f>SUM(F24:F28)</f>
        <v>29671</v>
      </c>
      <c r="G29" s="84"/>
      <c r="H29" s="83">
        <f t="shared" ref="H29" si="26">SUM(H24:H28)</f>
        <v>28647.496999999999</v>
      </c>
      <c r="I29" s="84"/>
      <c r="J29" s="83">
        <f t="shared" ref="J29" si="27">SUM(J24:J28)</f>
        <v>31529.631000000001</v>
      </c>
      <c r="K29" s="84"/>
      <c r="L29" s="83">
        <f t="shared" ref="L29" si="28">SUM(L24:L28)</f>
        <v>60594.061999999998</v>
      </c>
      <c r="M29" s="84"/>
      <c r="N29" s="83">
        <f t="shared" ref="N29" si="29">SUM(N24:N28)</f>
        <v>30425.277999999998</v>
      </c>
      <c r="O29" s="84"/>
      <c r="P29" s="83">
        <f t="shared" ref="P29" si="30">SUM(P24:P28)</f>
        <v>32524.606</v>
      </c>
      <c r="Q29" s="84"/>
      <c r="R29" s="83">
        <f t="shared" ref="R29" si="31">SUM(R24:R28)</f>
        <v>30629.008000000002</v>
      </c>
      <c r="S29" s="84"/>
      <c r="T29" s="83">
        <f t="shared" ref="T29" si="32">SUM(T24:T28)</f>
        <v>52451.364999999998</v>
      </c>
      <c r="U29" s="84"/>
      <c r="V29" s="83">
        <f t="shared" ref="V29" si="33">SUM(V24:V28)</f>
        <v>31480.583999999999</v>
      </c>
      <c r="W29" s="84"/>
      <c r="X29" s="83">
        <f t="shared" ref="X29" si="34">SUM(X24:X28)</f>
        <v>32627.065999999999</v>
      </c>
      <c r="Y29" s="84"/>
      <c r="Z29" s="83">
        <f t="shared" ref="Z29" si="35">SUM(Z24:Z28)</f>
        <v>32014.124</v>
      </c>
      <c r="AA29" s="131"/>
      <c r="AB29" s="141">
        <f t="shared" ref="AB29" si="36">SUM(AB24:AB28)</f>
        <v>0</v>
      </c>
      <c r="AC29" s="142"/>
    </row>
    <row r="30" spans="1:29" ht="24.75" customHeight="1" thickTop="1" thickBot="1">
      <c r="A30" s="132" t="s">
        <v>37</v>
      </c>
      <c r="B30" s="133"/>
      <c r="C30" s="134"/>
      <c r="D30" s="126">
        <f>D23-D29</f>
        <v>167814.7</v>
      </c>
      <c r="E30" s="127"/>
      <c r="F30" s="126">
        <f>F23-F29</f>
        <v>74669</v>
      </c>
      <c r="G30" s="127"/>
      <c r="H30" s="126">
        <f>H23-H29</f>
        <v>89851.502999999997</v>
      </c>
      <c r="I30" s="127"/>
      <c r="J30" s="126">
        <f>J23-J29</f>
        <v>144347.36900000001</v>
      </c>
      <c r="K30" s="127"/>
      <c r="L30" s="126">
        <f>L23-L29</f>
        <v>86759.937999999995</v>
      </c>
      <c r="M30" s="127"/>
      <c r="N30" s="126">
        <f>N23-N29</f>
        <v>119000.72200000001</v>
      </c>
      <c r="O30" s="127"/>
      <c r="P30" s="126">
        <f>P23-P29</f>
        <v>176677.394</v>
      </c>
      <c r="Q30" s="127"/>
      <c r="R30" s="126">
        <f>R23-R29</f>
        <v>186706.992</v>
      </c>
      <c r="S30" s="127"/>
      <c r="T30" s="126">
        <f>T23-T29</f>
        <v>159003.63500000001</v>
      </c>
      <c r="U30" s="127"/>
      <c r="V30" s="126">
        <f>V23-V29</f>
        <v>143047.416</v>
      </c>
      <c r="W30" s="127"/>
      <c r="X30" s="126">
        <f>X21-X29</f>
        <v>167394.93400000001</v>
      </c>
      <c r="Y30" s="127"/>
      <c r="Z30" s="126">
        <f>Z23-Z29</f>
        <v>153693.87599999999</v>
      </c>
      <c r="AA30" s="128"/>
      <c r="AB30" s="155">
        <f>D30+F30+H30+J30+L30+N30</f>
        <v>682443.23200000008</v>
      </c>
      <c r="AC30" s="156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1B9F-FA81-4D07-A18C-B546464B0B65}">
  <sheetPr codeName="Sheet9">
    <tabColor theme="7"/>
  </sheetPr>
  <dimension ref="A1:AC30"/>
  <sheetViews>
    <sheetView topLeftCell="A6" workbookViewId="0">
      <selection activeCell="T30" sqref="T30:U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56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>
        <v>3</v>
      </c>
      <c r="E7" s="4" t="s">
        <v>21</v>
      </c>
      <c r="F7" s="3">
        <v>12</v>
      </c>
      <c r="G7" s="4" t="s">
        <v>21</v>
      </c>
      <c r="H7" s="3">
        <v>13</v>
      </c>
      <c r="I7" s="4" t="s">
        <v>21</v>
      </c>
      <c r="J7" s="3">
        <v>17</v>
      </c>
      <c r="K7" s="4" t="s">
        <v>21</v>
      </c>
      <c r="L7" s="3">
        <v>6</v>
      </c>
      <c r="M7" s="4" t="s">
        <v>21</v>
      </c>
      <c r="N7" s="3">
        <v>0</v>
      </c>
      <c r="O7" s="4" t="s">
        <v>21</v>
      </c>
      <c r="P7" s="3">
        <v>9</v>
      </c>
      <c r="Q7" s="4" t="s">
        <v>21</v>
      </c>
      <c r="R7" s="3">
        <v>20</v>
      </c>
      <c r="S7" s="4" t="s">
        <v>21</v>
      </c>
      <c r="T7" s="3">
        <v>15</v>
      </c>
      <c r="U7" s="4" t="s">
        <v>21</v>
      </c>
      <c r="V7" s="3">
        <v>3</v>
      </c>
      <c r="W7" s="4" t="s">
        <v>21</v>
      </c>
      <c r="X7" s="3">
        <v>12</v>
      </c>
      <c r="Y7" s="4" t="s">
        <v>21</v>
      </c>
      <c r="Z7" s="3">
        <v>17</v>
      </c>
      <c r="AA7" s="4" t="s">
        <v>21</v>
      </c>
      <c r="AB7" s="24"/>
      <c r="AC7" s="9" t="s">
        <v>21</v>
      </c>
    </row>
    <row r="8" spans="1:29" ht="24.75" customHeight="1">
      <c r="A8" s="65" t="s">
        <v>41</v>
      </c>
      <c r="B8" s="66"/>
      <c r="C8" s="67"/>
      <c r="D8" s="3">
        <v>6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3</v>
      </c>
      <c r="S8" s="4" t="s">
        <v>21</v>
      </c>
      <c r="T8" s="3"/>
      <c r="U8" s="4" t="s">
        <v>21</v>
      </c>
      <c r="V8" s="3"/>
      <c r="W8" s="4" t="s">
        <v>21</v>
      </c>
      <c r="X8" s="3">
        <v>4</v>
      </c>
      <c r="Y8" s="4" t="s">
        <v>21</v>
      </c>
      <c r="Z8" s="3">
        <v>1</v>
      </c>
      <c r="AA8" s="4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>
        <v>3</v>
      </c>
      <c r="E9" s="4" t="s">
        <v>22</v>
      </c>
      <c r="F9" s="3"/>
      <c r="G9" s="4" t="s">
        <v>22</v>
      </c>
      <c r="H9" s="3"/>
      <c r="I9" s="4" t="s">
        <v>22</v>
      </c>
      <c r="J9" s="3">
        <v>3</v>
      </c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3</v>
      </c>
      <c r="S9" s="4" t="s">
        <v>22</v>
      </c>
      <c r="T9" s="3">
        <v>12</v>
      </c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5" t="s">
        <v>69</v>
      </c>
      <c r="B10" s="66"/>
      <c r="C10" s="67"/>
      <c r="D10" s="3">
        <v>18</v>
      </c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6</v>
      </c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>
        <v>7680</v>
      </c>
      <c r="E11" s="75"/>
      <c r="F11" s="74">
        <v>7680</v>
      </c>
      <c r="G11" s="75"/>
      <c r="H11" s="74">
        <v>7680</v>
      </c>
      <c r="I11" s="75"/>
      <c r="J11" s="74">
        <v>7680</v>
      </c>
      <c r="K11" s="75"/>
      <c r="L11" s="74">
        <v>7680</v>
      </c>
      <c r="M11" s="75"/>
      <c r="N11" s="74">
        <v>7680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5"/>
      <c r="AB11" s="76">
        <v>8600</v>
      </c>
      <c r="AC11" s="77"/>
    </row>
    <row r="12" spans="1:29" ht="24.75" customHeight="1">
      <c r="A12" s="65" t="s">
        <v>49</v>
      </c>
      <c r="B12" s="66"/>
      <c r="C12" s="67"/>
      <c r="D12" s="58">
        <v>1200</v>
      </c>
      <c r="E12" s="59"/>
      <c r="F12" s="58">
        <v>1200</v>
      </c>
      <c r="G12" s="59"/>
      <c r="H12" s="58">
        <v>1200</v>
      </c>
      <c r="I12" s="59"/>
      <c r="J12" s="58">
        <v>1200</v>
      </c>
      <c r="K12" s="59"/>
      <c r="L12" s="58">
        <v>1200</v>
      </c>
      <c r="M12" s="59"/>
      <c r="N12" s="58">
        <v>1200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149"/>
      <c r="AB12" s="78"/>
      <c r="AC12" s="79"/>
    </row>
    <row r="13" spans="1:29" ht="24.75" customHeight="1">
      <c r="A13" s="89" t="s">
        <v>27</v>
      </c>
      <c r="B13" s="90"/>
      <c r="C13" s="66"/>
      <c r="D13" s="58">
        <v>9600</v>
      </c>
      <c r="E13" s="59"/>
      <c r="F13" s="58">
        <v>9600</v>
      </c>
      <c r="G13" s="59"/>
      <c r="H13" s="58">
        <v>9600</v>
      </c>
      <c r="I13" s="59"/>
      <c r="J13" s="58">
        <v>9600</v>
      </c>
      <c r="K13" s="59"/>
      <c r="L13" s="58">
        <v>9600</v>
      </c>
      <c r="M13" s="59"/>
      <c r="N13" s="58">
        <v>9600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59"/>
      <c r="AB13" s="78">
        <v>10750</v>
      </c>
      <c r="AC13" s="79"/>
    </row>
    <row r="14" spans="1:29" ht="24.75" customHeight="1" thickBot="1">
      <c r="A14" s="80" t="s">
        <v>50</v>
      </c>
      <c r="B14" s="81"/>
      <c r="C14" s="82"/>
      <c r="D14" s="85">
        <v>1500</v>
      </c>
      <c r="E14" s="86"/>
      <c r="F14" s="85">
        <v>1500</v>
      </c>
      <c r="G14" s="86"/>
      <c r="H14" s="85">
        <v>1500</v>
      </c>
      <c r="I14" s="86"/>
      <c r="J14" s="85">
        <v>1500</v>
      </c>
      <c r="K14" s="86"/>
      <c r="L14" s="85">
        <v>1500</v>
      </c>
      <c r="M14" s="86"/>
      <c r="N14" s="85">
        <v>1500</v>
      </c>
      <c r="O14" s="86"/>
      <c r="P14" s="85">
        <v>1562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168"/>
      <c r="AB14" s="87"/>
      <c r="AC14" s="88"/>
    </row>
    <row r="15" spans="1:29" ht="24.75" customHeight="1" thickTop="1">
      <c r="A15" s="91" t="s">
        <v>42</v>
      </c>
      <c r="B15" s="28"/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96"/>
      <c r="AC15" s="97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78"/>
      <c r="AC16" s="79"/>
    </row>
    <row r="17" spans="1:29" ht="24.75" customHeight="1">
      <c r="A17" s="92"/>
      <c r="B17" s="8" t="s">
        <v>102</v>
      </c>
      <c r="C17" s="7" t="s">
        <v>45</v>
      </c>
      <c r="D17" s="58">
        <v>4400</v>
      </c>
      <c r="E17" s="59"/>
      <c r="F17" s="58">
        <v>4800</v>
      </c>
      <c r="G17" s="59"/>
      <c r="H17" s="58">
        <v>5200</v>
      </c>
      <c r="I17" s="59"/>
      <c r="J17" s="58">
        <v>6800</v>
      </c>
      <c r="K17" s="59"/>
      <c r="L17" s="58">
        <v>2400</v>
      </c>
      <c r="M17" s="59"/>
      <c r="N17" s="58"/>
      <c r="O17" s="59"/>
      <c r="P17" s="58">
        <v>450</v>
      </c>
      <c r="Q17" s="59"/>
      <c r="R17" s="58">
        <v>1150</v>
      </c>
      <c r="S17" s="59"/>
      <c r="T17" s="58">
        <v>750</v>
      </c>
      <c r="U17" s="59"/>
      <c r="V17" s="58">
        <v>150</v>
      </c>
      <c r="W17" s="59"/>
      <c r="X17" s="58">
        <v>800</v>
      </c>
      <c r="Y17" s="59"/>
      <c r="Z17" s="58">
        <v>900</v>
      </c>
      <c r="AA17" s="59"/>
      <c r="AB17" s="78"/>
      <c r="AC17" s="79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>
        <v>800</v>
      </c>
      <c r="S18" s="59"/>
      <c r="T18" s="58">
        <v>400</v>
      </c>
      <c r="U18" s="59"/>
      <c r="V18" s="58"/>
      <c r="W18" s="59"/>
      <c r="X18" s="58"/>
      <c r="Y18" s="59"/>
      <c r="Z18" s="58"/>
      <c r="AA18" s="59"/>
      <c r="AB18" s="78"/>
      <c r="AC18" s="79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78"/>
      <c r="AC19" s="79"/>
    </row>
    <row r="20" spans="1:29" ht="24.75" customHeight="1" thickBot="1">
      <c r="A20" s="93"/>
      <c r="B20" s="52" t="s">
        <v>30</v>
      </c>
      <c r="C20" s="48"/>
      <c r="D20" s="85">
        <v>35250</v>
      </c>
      <c r="E20" s="86"/>
      <c r="F20" s="85"/>
      <c r="G20" s="86"/>
      <c r="H20" s="85">
        <v>10000</v>
      </c>
      <c r="I20" s="86"/>
      <c r="J20" s="85"/>
      <c r="K20" s="86"/>
      <c r="L20" s="85">
        <v>1000</v>
      </c>
      <c r="M20" s="86"/>
      <c r="N20" s="85"/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87"/>
      <c r="AC20" s="88"/>
    </row>
    <row r="21" spans="1:29" ht="24.75" customHeight="1" thickTop="1">
      <c r="A21" s="71" t="s">
        <v>31</v>
      </c>
      <c r="B21" s="72"/>
      <c r="C21" s="73"/>
      <c r="D21" s="74">
        <f>INT(D7*D11+D8*D13+D9*D12+D10*D14+D17+D20)</f>
        <v>150890</v>
      </c>
      <c r="E21" s="75"/>
      <c r="F21" s="74">
        <f t="shared" ref="F21" si="0">INT(F7*F11+F8*F13+F10*F12+F15+F16+F17+F18+F19+F20)</f>
        <v>96960</v>
      </c>
      <c r="G21" s="75"/>
      <c r="H21" s="74">
        <f t="shared" ref="H21" si="1">INT(H7*H11+H8*H13+H10*H12+H15+H16+H17+H18+H19+H20)</f>
        <v>115040</v>
      </c>
      <c r="I21" s="75"/>
      <c r="J21" s="74">
        <f>INT(J7*J11+J9*J12+J17)</f>
        <v>140960</v>
      </c>
      <c r="K21" s="75"/>
      <c r="L21" s="74">
        <f t="shared" ref="L21" si="2">INT(L7*L11+L8*L13+L10*L12+L15+L16+L17+L18+L19+L20)</f>
        <v>49480</v>
      </c>
      <c r="M21" s="75"/>
      <c r="N21" s="74">
        <f t="shared" ref="N21" si="3">INT(N7*N11+N8*N13+N10*N12+N15+N16+N17+N18+N19+N20)</f>
        <v>0</v>
      </c>
      <c r="O21" s="75"/>
      <c r="P21" s="74">
        <f t="shared" ref="P21" si="4">INT(P7*P11+P8*P13+P10*P12+P15+P16+P17+P18+P19+P20)</f>
        <v>72450</v>
      </c>
      <c r="Q21" s="75"/>
      <c r="R21" s="74">
        <f>INT(R7*R11+R8*R13+R9*R12+R15+R16+R17+R18+R19+R20+R10*R14)</f>
        <v>205072</v>
      </c>
      <c r="S21" s="75"/>
      <c r="T21" s="74">
        <f>INT(T7*T11+T8*T13+T9*T12+T15+T16+T17+T18+T19+T20)</f>
        <v>136150</v>
      </c>
      <c r="U21" s="75"/>
      <c r="V21" s="74">
        <f t="shared" ref="V21" si="5">INT(V7*V11+V8*V13+V10*V12+V15+V16+V17+V18+V19+V20)</f>
        <v>24150</v>
      </c>
      <c r="W21" s="75"/>
      <c r="X21" s="74">
        <f>INT(X7*X11+X8*X13+X9*X12+X15+X16+X17+X18+X19+X20+X10*X14)</f>
        <v>136800</v>
      </c>
      <c r="Y21" s="75"/>
      <c r="Z21" s="74">
        <f t="shared" ref="Z21" si="6">INT(Z7*Z11+Z8*Z13+Z10*Z12+Z15+Z16+Z17+Z18+Z19+Z20)</f>
        <v>146900</v>
      </c>
      <c r="AA21" s="75"/>
      <c r="AB21" s="96">
        <f>D21+F21+H21+J21+L21+N21</f>
        <v>553330</v>
      </c>
      <c r="AC21" s="97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>
        <v>30000</v>
      </c>
      <c r="M22" s="102"/>
      <c r="N22" s="101"/>
      <c r="O22" s="102"/>
      <c r="P22" s="101"/>
      <c r="Q22" s="102"/>
      <c r="R22" s="101"/>
      <c r="S22" s="102"/>
      <c r="T22" s="101">
        <v>10000</v>
      </c>
      <c r="U22" s="102"/>
      <c r="V22" s="101"/>
      <c r="W22" s="102"/>
      <c r="X22" s="101"/>
      <c r="Y22" s="102"/>
      <c r="Z22" s="101"/>
      <c r="AA22" s="102"/>
      <c r="AB22" s="103"/>
      <c r="AC22" s="104"/>
    </row>
    <row r="23" spans="1:29" ht="24.75" customHeight="1" thickBot="1">
      <c r="A23" s="117" t="s">
        <v>20</v>
      </c>
      <c r="B23" s="118"/>
      <c r="C23" s="119"/>
      <c r="D23" s="105">
        <f>D21+D22</f>
        <v>150890</v>
      </c>
      <c r="E23" s="106"/>
      <c r="F23" s="105">
        <f t="shared" ref="F23" si="7">F21+F22</f>
        <v>96960</v>
      </c>
      <c r="G23" s="106"/>
      <c r="H23" s="105">
        <f t="shared" ref="H23" si="8">H21+H22</f>
        <v>115040</v>
      </c>
      <c r="I23" s="106"/>
      <c r="J23" s="105">
        <f t="shared" ref="J23" si="9">J21+J22</f>
        <v>140960</v>
      </c>
      <c r="K23" s="106"/>
      <c r="L23" s="105">
        <f t="shared" ref="L23" si="10">L21+L22</f>
        <v>79480</v>
      </c>
      <c r="M23" s="106"/>
      <c r="N23" s="105">
        <f t="shared" ref="N23" si="11">N21+N22</f>
        <v>0</v>
      </c>
      <c r="O23" s="106"/>
      <c r="P23" s="105">
        <f t="shared" ref="P23" si="12">P21+P22</f>
        <v>72450</v>
      </c>
      <c r="Q23" s="106"/>
      <c r="R23" s="105">
        <f t="shared" ref="R23" si="13">R21+R22</f>
        <v>205072</v>
      </c>
      <c r="S23" s="106"/>
      <c r="T23" s="105">
        <f t="shared" ref="T23" si="14">T21+T22</f>
        <v>146150</v>
      </c>
      <c r="U23" s="106"/>
      <c r="V23" s="105">
        <f t="shared" ref="V23" si="15">V21+V22</f>
        <v>24150</v>
      </c>
      <c r="W23" s="106"/>
      <c r="X23" s="105">
        <f t="shared" ref="X23" si="16">X21+X22</f>
        <v>136800</v>
      </c>
      <c r="Y23" s="106"/>
      <c r="Z23" s="105">
        <f t="shared" ref="Z23" si="17">Z21+Z22</f>
        <v>146900</v>
      </c>
      <c r="AA23" s="106"/>
      <c r="AB23" s="107">
        <f>D23+F23+H23+J23+L23+N23</f>
        <v>583330</v>
      </c>
      <c r="AC23" s="108"/>
    </row>
    <row r="24" spans="1:29" ht="24.75" customHeight="1">
      <c r="A24" s="109" t="s">
        <v>33</v>
      </c>
      <c r="B24" s="113" t="s">
        <v>34</v>
      </c>
      <c r="C24" s="114"/>
      <c r="D24" s="115">
        <f>D23*0.003</f>
        <v>452.67</v>
      </c>
      <c r="E24" s="116"/>
      <c r="F24" s="115">
        <f t="shared" ref="F24" si="18">F23*0.003</f>
        <v>290.88</v>
      </c>
      <c r="G24" s="116"/>
      <c r="H24" s="115">
        <f t="shared" ref="H24" si="19">H23*0.003</f>
        <v>345.12</v>
      </c>
      <c r="I24" s="116"/>
      <c r="J24" s="115">
        <f t="shared" ref="J24" si="20">J23*0.003</f>
        <v>422.88</v>
      </c>
      <c r="K24" s="116"/>
      <c r="L24" s="115">
        <f t="shared" ref="L24" si="21">L23*0.003</f>
        <v>238.44</v>
      </c>
      <c r="M24" s="116"/>
      <c r="N24" s="115">
        <f t="shared" ref="N24" si="22">N23*0.003</f>
        <v>0</v>
      </c>
      <c r="O24" s="116"/>
      <c r="P24" s="115">
        <f t="shared" ref="P24" si="23">P23*0.003</f>
        <v>217.35</v>
      </c>
      <c r="Q24" s="116"/>
      <c r="R24" s="115">
        <f t="shared" ref="R24" si="24">R23*0.003</f>
        <v>615.21600000000001</v>
      </c>
      <c r="S24" s="116"/>
      <c r="T24" s="115">
        <v>438</v>
      </c>
      <c r="U24" s="116"/>
      <c r="V24" s="115">
        <f t="shared" ref="V24" si="25">V23*0.003</f>
        <v>72.45</v>
      </c>
      <c r="W24" s="116"/>
      <c r="X24" s="115">
        <f t="shared" ref="X24" si="26">X23*0.003</f>
        <v>410.40000000000003</v>
      </c>
      <c r="Y24" s="116"/>
      <c r="Z24" s="115">
        <f t="shared" ref="Z24" si="27">Z23*0.003</f>
        <v>440.7</v>
      </c>
      <c r="AA24" s="116"/>
      <c r="AB24" s="120"/>
      <c r="AC24" s="121"/>
    </row>
    <row r="25" spans="1:29" ht="24.75" customHeight="1">
      <c r="A25" s="110"/>
      <c r="B25" s="94" t="s">
        <v>35</v>
      </c>
      <c r="C25" s="95"/>
      <c r="D25" s="58">
        <v>3340</v>
      </c>
      <c r="E25" s="59"/>
      <c r="F25" s="58">
        <v>1230</v>
      </c>
      <c r="G25" s="59"/>
      <c r="H25" s="58">
        <v>1640</v>
      </c>
      <c r="I25" s="59"/>
      <c r="J25" s="58">
        <v>2740</v>
      </c>
      <c r="K25" s="59"/>
      <c r="L25" s="58">
        <v>0</v>
      </c>
      <c r="M25" s="59"/>
      <c r="N25" s="58"/>
      <c r="O25" s="59"/>
      <c r="P25" s="58">
        <v>0</v>
      </c>
      <c r="Q25" s="59"/>
      <c r="R25" s="58">
        <v>5050</v>
      </c>
      <c r="S25" s="59"/>
      <c r="T25" s="58">
        <v>3200</v>
      </c>
      <c r="U25" s="59"/>
      <c r="V25" s="58">
        <v>0</v>
      </c>
      <c r="W25" s="59"/>
      <c r="X25" s="58">
        <v>2610</v>
      </c>
      <c r="Y25" s="59"/>
      <c r="Z25" s="58">
        <v>2860</v>
      </c>
      <c r="AA25" s="59"/>
      <c r="AB25" s="78"/>
      <c r="AC25" s="79"/>
    </row>
    <row r="26" spans="1:29" ht="24.75" customHeight="1">
      <c r="A26" s="110"/>
      <c r="B26" s="94" t="s">
        <v>47</v>
      </c>
      <c r="C26" s="95"/>
      <c r="D26" s="58">
        <v>2100</v>
      </c>
      <c r="E26" s="59"/>
      <c r="F26" s="58">
        <v>2100</v>
      </c>
      <c r="G26" s="59"/>
      <c r="H26" s="58">
        <v>1500</v>
      </c>
      <c r="I26" s="59"/>
      <c r="J26" s="58">
        <v>1400</v>
      </c>
      <c r="K26" s="59"/>
      <c r="L26" s="58">
        <v>1400</v>
      </c>
      <c r="M26" s="59"/>
      <c r="N26" s="58">
        <v>1400</v>
      </c>
      <c r="O26" s="59"/>
      <c r="P26" s="58">
        <v>1400</v>
      </c>
      <c r="Q26" s="59"/>
      <c r="R26" s="58">
        <v>1400</v>
      </c>
      <c r="S26" s="59"/>
      <c r="T26" s="58">
        <v>1400</v>
      </c>
      <c r="U26" s="59"/>
      <c r="V26" s="58">
        <v>1400</v>
      </c>
      <c r="W26" s="59"/>
      <c r="X26" s="58">
        <v>1400</v>
      </c>
      <c r="Y26" s="59"/>
      <c r="Z26" s="58">
        <v>1400</v>
      </c>
      <c r="AA26" s="59"/>
      <c r="AB26" s="78"/>
      <c r="AC26" s="79"/>
    </row>
    <row r="27" spans="1:29" ht="24.75" customHeight="1">
      <c r="A27" s="111"/>
      <c r="B27" s="94" t="s">
        <v>48</v>
      </c>
      <c r="C27" s="95"/>
      <c r="D27" s="83">
        <v>14734</v>
      </c>
      <c r="E27" s="84"/>
      <c r="F27" s="83">
        <v>14734</v>
      </c>
      <c r="G27" s="84"/>
      <c r="H27" s="83">
        <v>14734</v>
      </c>
      <c r="I27" s="84"/>
      <c r="J27" s="83">
        <v>14734</v>
      </c>
      <c r="K27" s="84"/>
      <c r="L27" s="83">
        <v>14734</v>
      </c>
      <c r="M27" s="84"/>
      <c r="N27" s="83">
        <v>16659</v>
      </c>
      <c r="O27" s="84"/>
      <c r="P27" s="83">
        <v>16659</v>
      </c>
      <c r="Q27" s="84"/>
      <c r="R27" s="83">
        <v>16659</v>
      </c>
      <c r="S27" s="84"/>
      <c r="T27" s="83">
        <v>16659</v>
      </c>
      <c r="U27" s="84"/>
      <c r="V27" s="83">
        <v>16659</v>
      </c>
      <c r="W27" s="84"/>
      <c r="X27" s="83">
        <v>16659</v>
      </c>
      <c r="Y27" s="84"/>
      <c r="Z27" s="83">
        <v>16659</v>
      </c>
      <c r="AA27" s="84"/>
      <c r="AB27" s="96"/>
      <c r="AC27" s="97"/>
    </row>
    <row r="28" spans="1:29" ht="24.75" customHeight="1" thickBot="1">
      <c r="A28" s="112"/>
      <c r="B28" s="124" t="s">
        <v>51</v>
      </c>
      <c r="C28" s="125"/>
      <c r="D28" s="101">
        <v>2750</v>
      </c>
      <c r="E28" s="102"/>
      <c r="F28" s="101">
        <v>2750</v>
      </c>
      <c r="G28" s="102"/>
      <c r="H28" s="101">
        <v>3250</v>
      </c>
      <c r="I28" s="102"/>
      <c r="J28" s="101">
        <v>4000</v>
      </c>
      <c r="K28" s="102"/>
      <c r="L28" s="101">
        <v>32000</v>
      </c>
      <c r="M28" s="102"/>
      <c r="N28" s="101"/>
      <c r="O28" s="102"/>
      <c r="P28" s="101">
        <v>20559</v>
      </c>
      <c r="Q28" s="102"/>
      <c r="R28" s="101">
        <v>5250</v>
      </c>
      <c r="S28" s="102"/>
      <c r="T28" s="101">
        <v>3500</v>
      </c>
      <c r="U28" s="102"/>
      <c r="V28" s="101">
        <v>750</v>
      </c>
      <c r="W28" s="102"/>
      <c r="X28" s="101">
        <v>3500</v>
      </c>
      <c r="Y28" s="102"/>
      <c r="Z28" s="101">
        <v>34500</v>
      </c>
      <c r="AA28" s="102"/>
      <c r="AB28" s="122"/>
      <c r="AC28" s="123"/>
    </row>
    <row r="29" spans="1:29" ht="24.75" customHeight="1" thickBot="1">
      <c r="A29" s="71" t="s">
        <v>36</v>
      </c>
      <c r="B29" s="72"/>
      <c r="C29" s="73"/>
      <c r="D29" s="83">
        <f>SUM(D24:D28)</f>
        <v>23376.67</v>
      </c>
      <c r="E29" s="84"/>
      <c r="F29" s="83">
        <f t="shared" ref="F29" si="28">SUM(F24:F28)</f>
        <v>21104.880000000001</v>
      </c>
      <c r="G29" s="84"/>
      <c r="H29" s="83">
        <f t="shared" ref="H29" si="29">SUM(H24:H28)</f>
        <v>21469.119999999999</v>
      </c>
      <c r="I29" s="84"/>
      <c r="J29" s="83">
        <f t="shared" ref="J29" si="30">SUM(J24:J28)</f>
        <v>23296.880000000001</v>
      </c>
      <c r="K29" s="84"/>
      <c r="L29" s="83">
        <v>48372</v>
      </c>
      <c r="M29" s="84"/>
      <c r="N29" s="83">
        <f t="shared" ref="N29" si="31">SUM(N24:N28)</f>
        <v>18059</v>
      </c>
      <c r="O29" s="84"/>
      <c r="P29" s="83">
        <f t="shared" ref="P29" si="32">SUM(P24:P28)</f>
        <v>38835.35</v>
      </c>
      <c r="Q29" s="84"/>
      <c r="R29" s="83">
        <f t="shared" ref="R29" si="33">SUM(R24:R28)</f>
        <v>28974.216</v>
      </c>
      <c r="S29" s="84"/>
      <c r="T29" s="83">
        <v>35197</v>
      </c>
      <c r="U29" s="84"/>
      <c r="V29" s="83">
        <f t="shared" ref="V29" si="34">SUM(V24:V28)</f>
        <v>18881.45</v>
      </c>
      <c r="W29" s="84"/>
      <c r="X29" s="83">
        <f t="shared" ref="X29" si="35">SUM(X24:X28)</f>
        <v>24579.4</v>
      </c>
      <c r="Y29" s="84"/>
      <c r="Z29" s="83">
        <f t="shared" ref="Z29" si="36">SUM(Z24:Z28)</f>
        <v>55859.7</v>
      </c>
      <c r="AA29" s="131"/>
      <c r="AB29" s="96">
        <f t="shared" ref="AB29" si="37">SUM(AB24:AB28)</f>
        <v>0</v>
      </c>
      <c r="AC29" s="97"/>
    </row>
    <row r="30" spans="1:29" ht="24.75" customHeight="1" thickTop="1" thickBot="1">
      <c r="A30" s="132" t="s">
        <v>37</v>
      </c>
      <c r="B30" s="133"/>
      <c r="C30" s="134"/>
      <c r="D30" s="126">
        <f>D23-D29</f>
        <v>127513.33</v>
      </c>
      <c r="E30" s="127"/>
      <c r="F30" s="126">
        <f>F23-F29</f>
        <v>75855.12</v>
      </c>
      <c r="G30" s="127"/>
      <c r="H30" s="126">
        <f>H23-H29</f>
        <v>93570.880000000005</v>
      </c>
      <c r="I30" s="127"/>
      <c r="J30" s="126">
        <f>J23-J29</f>
        <v>117663.12</v>
      </c>
      <c r="K30" s="127"/>
      <c r="L30" s="126">
        <f>L23-L29</f>
        <v>31108</v>
      </c>
      <c r="M30" s="127"/>
      <c r="N30" s="126">
        <f>N23-N29</f>
        <v>-18059</v>
      </c>
      <c r="O30" s="127"/>
      <c r="P30" s="126">
        <f>P23-P29</f>
        <v>33614.65</v>
      </c>
      <c r="Q30" s="127"/>
      <c r="R30" s="126">
        <f>R23-R29</f>
        <v>176097.78399999999</v>
      </c>
      <c r="S30" s="127"/>
      <c r="T30" s="126">
        <f>T23-T29</f>
        <v>110953</v>
      </c>
      <c r="U30" s="127"/>
      <c r="V30" s="126">
        <f>V23-V29</f>
        <v>5268.5499999999993</v>
      </c>
      <c r="W30" s="127"/>
      <c r="X30" s="126">
        <f>X21-X29</f>
        <v>112220.6</v>
      </c>
      <c r="Y30" s="127"/>
      <c r="Z30" s="126">
        <f>Z23-Z29</f>
        <v>91040.3</v>
      </c>
      <c r="AA30" s="128"/>
      <c r="AB30" s="129">
        <f>D30+F30+H30+J30+L30+N30</f>
        <v>427651.45</v>
      </c>
      <c r="AC30" s="130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A865-2375-421B-9738-F05434EB0AC6}">
  <sheetPr codeName="Sheet4">
    <tabColor theme="5"/>
  </sheetPr>
  <dimension ref="A1:AC30"/>
  <sheetViews>
    <sheetView topLeftCell="C16" workbookViewId="0">
      <selection activeCell="Z30" sqref="Z30:AA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59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>
        <v>20</v>
      </c>
      <c r="E7" s="4" t="s">
        <v>21</v>
      </c>
      <c r="F7" s="3">
        <v>15</v>
      </c>
      <c r="G7" s="4" t="s">
        <v>21</v>
      </c>
      <c r="H7" s="3">
        <v>8</v>
      </c>
      <c r="I7" s="4" t="s">
        <v>21</v>
      </c>
      <c r="J7" s="3">
        <v>22</v>
      </c>
      <c r="K7" s="4" t="s">
        <v>21</v>
      </c>
      <c r="L7" s="3">
        <v>11</v>
      </c>
      <c r="M7" s="4" t="s">
        <v>21</v>
      </c>
      <c r="N7" s="3">
        <v>16</v>
      </c>
      <c r="O7" s="4" t="s">
        <v>21</v>
      </c>
      <c r="P7" s="3">
        <v>18</v>
      </c>
      <c r="Q7" s="4" t="s">
        <v>21</v>
      </c>
      <c r="R7" s="3">
        <v>24</v>
      </c>
      <c r="S7" s="4" t="s">
        <v>21</v>
      </c>
      <c r="T7" s="3">
        <v>23</v>
      </c>
      <c r="U7" s="4" t="s">
        <v>21</v>
      </c>
      <c r="V7" s="3">
        <v>20</v>
      </c>
      <c r="W7" s="4" t="s">
        <v>21</v>
      </c>
      <c r="X7" s="3">
        <v>21</v>
      </c>
      <c r="Y7" s="4" t="s">
        <v>21</v>
      </c>
      <c r="Z7" s="3">
        <v>25</v>
      </c>
      <c r="AA7" s="4" t="s">
        <v>21</v>
      </c>
      <c r="AB7" s="24"/>
      <c r="AC7" s="9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>
        <v>1</v>
      </c>
      <c r="Y8" s="4" t="s">
        <v>21</v>
      </c>
      <c r="Z8" s="3">
        <v>1</v>
      </c>
      <c r="AA8" s="4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>
        <v>1</v>
      </c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5" t="s">
        <v>69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>
        <v>3</v>
      </c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>
        <v>7800</v>
      </c>
      <c r="E11" s="75"/>
      <c r="F11" s="74">
        <v>7800</v>
      </c>
      <c r="G11" s="75"/>
      <c r="H11" s="74">
        <v>7800</v>
      </c>
      <c r="I11" s="75"/>
      <c r="J11" s="74">
        <v>7800</v>
      </c>
      <c r="K11" s="75"/>
      <c r="L11" s="74">
        <v>7800</v>
      </c>
      <c r="M11" s="75"/>
      <c r="N11" s="74">
        <v>7800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5"/>
      <c r="AB11" s="76"/>
      <c r="AC11" s="77"/>
    </row>
    <row r="12" spans="1:29" ht="24.75" customHeight="1">
      <c r="A12" s="65" t="s">
        <v>49</v>
      </c>
      <c r="B12" s="66"/>
      <c r="C12" s="67"/>
      <c r="D12" s="58">
        <v>1218</v>
      </c>
      <c r="E12" s="59"/>
      <c r="F12" s="58">
        <v>1218</v>
      </c>
      <c r="G12" s="59"/>
      <c r="H12" s="58">
        <v>1218</v>
      </c>
      <c r="I12" s="59"/>
      <c r="J12" s="58">
        <v>1218</v>
      </c>
      <c r="K12" s="59"/>
      <c r="L12" s="58">
        <v>1187</v>
      </c>
      <c r="M12" s="59"/>
      <c r="N12" s="58">
        <v>1187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59"/>
      <c r="AB12" s="78"/>
      <c r="AC12" s="79"/>
    </row>
    <row r="13" spans="1:29" ht="24.75" customHeight="1">
      <c r="A13" s="89" t="s">
        <v>27</v>
      </c>
      <c r="B13" s="90"/>
      <c r="C13" s="66"/>
      <c r="D13" s="58">
        <v>9750</v>
      </c>
      <c r="E13" s="59"/>
      <c r="F13" s="58">
        <v>9750</v>
      </c>
      <c r="G13" s="59"/>
      <c r="H13" s="58">
        <v>9750</v>
      </c>
      <c r="I13" s="59"/>
      <c r="J13" s="58">
        <v>9750</v>
      </c>
      <c r="K13" s="59"/>
      <c r="L13" s="58">
        <v>9750</v>
      </c>
      <c r="M13" s="59"/>
      <c r="N13" s="58">
        <v>9750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59"/>
      <c r="AB13" s="78"/>
      <c r="AC13" s="79"/>
    </row>
    <row r="14" spans="1:29" ht="24.75" customHeight="1" thickBot="1">
      <c r="A14" s="80" t="s">
        <v>50</v>
      </c>
      <c r="B14" s="81"/>
      <c r="C14" s="82"/>
      <c r="D14" s="85">
        <v>1523</v>
      </c>
      <c r="E14" s="86"/>
      <c r="F14" s="85">
        <v>1523</v>
      </c>
      <c r="G14" s="86"/>
      <c r="H14" s="85">
        <v>1523</v>
      </c>
      <c r="I14" s="86"/>
      <c r="J14" s="85">
        <v>1523</v>
      </c>
      <c r="K14" s="86"/>
      <c r="L14" s="85">
        <v>1523</v>
      </c>
      <c r="M14" s="86"/>
      <c r="N14" s="85">
        <v>1523</v>
      </c>
      <c r="O14" s="86"/>
      <c r="P14" s="85">
        <v>1562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86"/>
      <c r="AB14" s="87"/>
      <c r="AC14" s="88"/>
    </row>
    <row r="15" spans="1:29" ht="24.75" customHeight="1" thickTop="1">
      <c r="A15" s="91" t="s">
        <v>42</v>
      </c>
      <c r="B15" s="28"/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96"/>
      <c r="AC15" s="97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78"/>
      <c r="AC16" s="79"/>
    </row>
    <row r="17" spans="1:29" ht="24.75" customHeight="1">
      <c r="A17" s="92"/>
      <c r="B17" s="8" t="s">
        <v>102</v>
      </c>
      <c r="C17" s="7" t="s">
        <v>45</v>
      </c>
      <c r="D17" s="58">
        <v>4000</v>
      </c>
      <c r="E17" s="59"/>
      <c r="F17" s="58">
        <v>3000</v>
      </c>
      <c r="G17" s="59"/>
      <c r="H17" s="58">
        <v>1600</v>
      </c>
      <c r="I17" s="59"/>
      <c r="J17" s="58">
        <v>4400</v>
      </c>
      <c r="K17" s="59"/>
      <c r="L17" s="58">
        <v>2200</v>
      </c>
      <c r="M17" s="59"/>
      <c r="N17" s="58">
        <v>3200</v>
      </c>
      <c r="O17" s="59"/>
      <c r="P17" s="58">
        <v>900</v>
      </c>
      <c r="Q17" s="59"/>
      <c r="R17" s="58">
        <v>1200</v>
      </c>
      <c r="S17" s="59"/>
      <c r="T17" s="58">
        <v>4600</v>
      </c>
      <c r="U17" s="59"/>
      <c r="V17" s="58">
        <v>1000</v>
      </c>
      <c r="W17" s="59"/>
      <c r="X17" s="58">
        <v>1100</v>
      </c>
      <c r="Y17" s="59"/>
      <c r="Z17" s="58">
        <v>1300</v>
      </c>
      <c r="AA17" s="59"/>
      <c r="AB17" s="78"/>
      <c r="AC17" s="79"/>
    </row>
    <row r="18" spans="1:29" ht="24.75" customHeight="1">
      <c r="A18" s="92"/>
      <c r="B18" s="94" t="s">
        <v>28</v>
      </c>
      <c r="C18" s="95"/>
      <c r="D18" s="58">
        <v>4000</v>
      </c>
      <c r="E18" s="59"/>
      <c r="F18" s="58"/>
      <c r="G18" s="59"/>
      <c r="H18" s="58">
        <v>600</v>
      </c>
      <c r="I18" s="59"/>
      <c r="J18" s="58"/>
      <c r="K18" s="59"/>
      <c r="L18" s="58">
        <v>600</v>
      </c>
      <c r="M18" s="59"/>
      <c r="N18" s="58">
        <v>2000</v>
      </c>
      <c r="O18" s="59"/>
      <c r="P18" s="58">
        <v>3600</v>
      </c>
      <c r="Q18" s="59"/>
      <c r="R18" s="58">
        <v>4800</v>
      </c>
      <c r="S18" s="59"/>
      <c r="T18" s="58">
        <v>4600</v>
      </c>
      <c r="U18" s="59"/>
      <c r="V18" s="58">
        <v>4000</v>
      </c>
      <c r="W18" s="59"/>
      <c r="X18" s="58">
        <v>4000</v>
      </c>
      <c r="Y18" s="59"/>
      <c r="Z18" s="58">
        <v>5200</v>
      </c>
      <c r="AA18" s="59"/>
      <c r="AB18" s="78"/>
      <c r="AC18" s="79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78"/>
      <c r="AC19" s="79"/>
    </row>
    <row r="20" spans="1:29" ht="24.75" customHeight="1" thickBot="1">
      <c r="A20" s="93"/>
      <c r="B20" s="52" t="s">
        <v>30</v>
      </c>
      <c r="C20" s="48"/>
      <c r="D20" s="85"/>
      <c r="E20" s="86"/>
      <c r="F20" s="85">
        <v>3800</v>
      </c>
      <c r="G20" s="86"/>
      <c r="H20" s="85">
        <v>1000</v>
      </c>
      <c r="I20" s="86"/>
      <c r="J20" s="85">
        <v>3600</v>
      </c>
      <c r="K20" s="86"/>
      <c r="L20" s="85"/>
      <c r="M20" s="86"/>
      <c r="N20" s="85">
        <v>2000</v>
      </c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78"/>
      <c r="AC20" s="79"/>
    </row>
    <row r="21" spans="1:29" ht="24.75" customHeight="1" thickTop="1">
      <c r="A21" s="71" t="s">
        <v>31</v>
      </c>
      <c r="B21" s="72"/>
      <c r="C21" s="73"/>
      <c r="D21" s="74">
        <f>INT(D7*D11+D17+D18)</f>
        <v>164000</v>
      </c>
      <c r="E21" s="75"/>
      <c r="F21" s="74">
        <f t="shared" ref="F21" si="0">INT(F7*F11+F8*F13+F10*F12+F15+F16+F17+F18+F19+F20)</f>
        <v>123800</v>
      </c>
      <c r="G21" s="75"/>
      <c r="H21" s="74">
        <f t="shared" ref="H21" si="1">INT(H7*H11+H8*H13+H10*H12+H15+H16+H17+H18+H19+H20)</f>
        <v>65600</v>
      </c>
      <c r="I21" s="75"/>
      <c r="J21" s="74">
        <f>INT(J7*J11+J9*J12+J17+J20)</f>
        <v>180818</v>
      </c>
      <c r="K21" s="75"/>
      <c r="L21" s="74">
        <f t="shared" ref="L21" si="2">INT(L7*L11+L8*L13+L10*L12+L15+L16+L17+L18+L19+L20)</f>
        <v>88600</v>
      </c>
      <c r="M21" s="75"/>
      <c r="N21" s="74">
        <f>INT(N7*N11+N8*N13+N10*N12+N15+N16+N17+N18+N19+N20)</f>
        <v>132000</v>
      </c>
      <c r="O21" s="75"/>
      <c r="P21" s="74">
        <f t="shared" ref="P21" si="3">INT(P7*P11+P8*P13+P10*P12+P15+P16+P17+P18+P19+P20)</f>
        <v>148500</v>
      </c>
      <c r="Q21" s="75"/>
      <c r="R21" s="74">
        <f t="shared" ref="R21" si="4">INT(R7*R11+R8*R13+R10*R12+R15+R16+R17+R18+R19+R20)</f>
        <v>198000</v>
      </c>
      <c r="S21" s="75"/>
      <c r="T21" s="74">
        <f t="shared" ref="T21" si="5">INT(T7*T11+T8*T13+T10*T12+T15+T16+T17+T18+T19+T20)</f>
        <v>193200</v>
      </c>
      <c r="U21" s="75"/>
      <c r="V21" s="74">
        <f t="shared" ref="V21" si="6">INT(V7*V11+V8*V13+V10*V12+V15+V16+V17+V18+V19+V20)</f>
        <v>165000</v>
      </c>
      <c r="W21" s="75"/>
      <c r="X21" s="74">
        <f>INT(X7*X11+X8*X13+X10*X14+X15+X16+X17+X18+X19+X20)</f>
        <v>187786</v>
      </c>
      <c r="Y21" s="75"/>
      <c r="Z21" s="74">
        <f t="shared" ref="Z21" si="7">INT(Z7*Z11+Z8*Z13+Z10*Z12+Z15+Z16+Z17+Z18+Z19+Z20)</f>
        <v>216500</v>
      </c>
      <c r="AA21" s="75"/>
      <c r="AB21" s="78">
        <f>D21+F21+H21+AG27+J21+L21+N21</f>
        <v>754818</v>
      </c>
      <c r="AC21" s="79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>
        <v>10000</v>
      </c>
      <c r="M22" s="102"/>
      <c r="N22" s="101"/>
      <c r="O22" s="102"/>
      <c r="P22" s="101"/>
      <c r="Q22" s="102"/>
      <c r="R22" s="101"/>
      <c r="S22" s="102"/>
      <c r="T22" s="101">
        <v>10000</v>
      </c>
      <c r="U22" s="102"/>
      <c r="V22" s="101"/>
      <c r="W22" s="102"/>
      <c r="X22" s="101"/>
      <c r="Y22" s="102"/>
      <c r="Z22" s="101"/>
      <c r="AA22" s="102"/>
      <c r="AB22" s="103"/>
      <c r="AC22" s="104"/>
    </row>
    <row r="23" spans="1:29" ht="24.75" customHeight="1" thickBot="1">
      <c r="A23" s="117" t="s">
        <v>20</v>
      </c>
      <c r="B23" s="118"/>
      <c r="C23" s="119"/>
      <c r="D23" s="105">
        <f>D21+D22</f>
        <v>164000</v>
      </c>
      <c r="E23" s="106"/>
      <c r="F23" s="105">
        <f t="shared" ref="F23" si="8">F21+F22</f>
        <v>123800</v>
      </c>
      <c r="G23" s="106"/>
      <c r="H23" s="105">
        <f t="shared" ref="H23" si="9">H21+H22</f>
        <v>65600</v>
      </c>
      <c r="I23" s="106"/>
      <c r="J23" s="105">
        <f t="shared" ref="J23" si="10">J21+J22</f>
        <v>180818</v>
      </c>
      <c r="K23" s="106"/>
      <c r="L23" s="105">
        <f t="shared" ref="L23" si="11">L21+L22</f>
        <v>98600</v>
      </c>
      <c r="M23" s="106"/>
      <c r="N23" s="105">
        <f t="shared" ref="N23" si="12">N21+N22</f>
        <v>132000</v>
      </c>
      <c r="O23" s="106"/>
      <c r="P23" s="105">
        <f t="shared" ref="P23" si="13">P21+P22</f>
        <v>148500</v>
      </c>
      <c r="Q23" s="106"/>
      <c r="R23" s="105">
        <f t="shared" ref="R23" si="14">R21+R22</f>
        <v>198000</v>
      </c>
      <c r="S23" s="106"/>
      <c r="T23" s="105">
        <f t="shared" ref="T23" si="15">T21+T22</f>
        <v>203200</v>
      </c>
      <c r="U23" s="106"/>
      <c r="V23" s="105">
        <f t="shared" ref="V23" si="16">V21+V22</f>
        <v>165000</v>
      </c>
      <c r="W23" s="106"/>
      <c r="X23" s="105">
        <f t="shared" ref="X23" si="17">X21+X22</f>
        <v>187786</v>
      </c>
      <c r="Y23" s="106"/>
      <c r="Z23" s="105">
        <f t="shared" ref="Z23" si="18">Z21+Z22</f>
        <v>216500</v>
      </c>
      <c r="AA23" s="106"/>
      <c r="AB23" s="107">
        <f>D23+F23+H23+J23+L23+N23</f>
        <v>764818</v>
      </c>
      <c r="AC23" s="108"/>
    </row>
    <row r="24" spans="1:29" ht="24.75" customHeight="1">
      <c r="A24" s="109" t="s">
        <v>33</v>
      </c>
      <c r="B24" s="113" t="s">
        <v>34</v>
      </c>
      <c r="C24" s="114"/>
      <c r="D24" s="115">
        <f>D23*0.003</f>
        <v>492</v>
      </c>
      <c r="E24" s="116"/>
      <c r="F24" s="115">
        <f t="shared" ref="F24" si="19">F23*0.003</f>
        <v>371.40000000000003</v>
      </c>
      <c r="G24" s="116"/>
      <c r="H24" s="115">
        <f t="shared" ref="H24" si="20">H23*0.003</f>
        <v>196.8</v>
      </c>
      <c r="I24" s="116"/>
      <c r="J24" s="115">
        <f t="shared" ref="J24" si="21">J23*0.003</f>
        <v>542.45400000000006</v>
      </c>
      <c r="K24" s="116"/>
      <c r="L24" s="115">
        <f t="shared" ref="L24" si="22">L23*0.003</f>
        <v>295.8</v>
      </c>
      <c r="M24" s="116"/>
      <c r="N24" s="115">
        <f t="shared" ref="N24" si="23">N23*0.003</f>
        <v>396</v>
      </c>
      <c r="O24" s="116"/>
      <c r="P24" s="115">
        <f t="shared" ref="P24" si="24">P23*0.003</f>
        <v>445.5</v>
      </c>
      <c r="Q24" s="116"/>
      <c r="R24" s="115">
        <f t="shared" ref="R24" si="25">R23*0.003</f>
        <v>594</v>
      </c>
      <c r="S24" s="116"/>
      <c r="T24" s="115">
        <f t="shared" ref="T24" si="26">T23*0.003</f>
        <v>609.6</v>
      </c>
      <c r="U24" s="116"/>
      <c r="V24" s="115">
        <f t="shared" ref="V24" si="27">V23*0.003</f>
        <v>495</v>
      </c>
      <c r="W24" s="116"/>
      <c r="X24" s="115">
        <f t="shared" ref="X24" si="28">X23*0.003</f>
        <v>563.35800000000006</v>
      </c>
      <c r="Y24" s="116"/>
      <c r="Z24" s="115">
        <f t="shared" ref="Z24" si="29">Z23*0.003</f>
        <v>649.5</v>
      </c>
      <c r="AA24" s="116"/>
      <c r="AB24" s="120"/>
      <c r="AC24" s="121"/>
    </row>
    <row r="25" spans="1:29" ht="24.75" customHeight="1">
      <c r="A25" s="110"/>
      <c r="B25" s="94" t="s">
        <v>35</v>
      </c>
      <c r="C25" s="95"/>
      <c r="D25" s="58">
        <v>3550</v>
      </c>
      <c r="E25" s="59"/>
      <c r="F25" s="58">
        <v>2050</v>
      </c>
      <c r="G25" s="59"/>
      <c r="H25" s="58">
        <v>0</v>
      </c>
      <c r="I25" s="59"/>
      <c r="J25" s="58">
        <v>4120</v>
      </c>
      <c r="K25" s="59"/>
      <c r="L25" s="58">
        <v>680</v>
      </c>
      <c r="M25" s="59"/>
      <c r="N25" s="58">
        <v>2550</v>
      </c>
      <c r="O25" s="59"/>
      <c r="P25" s="58">
        <v>2980</v>
      </c>
      <c r="Q25" s="59"/>
      <c r="R25" s="58">
        <v>4910</v>
      </c>
      <c r="S25" s="59"/>
      <c r="T25" s="58">
        <v>4980</v>
      </c>
      <c r="U25" s="59"/>
      <c r="V25" s="58">
        <v>3700</v>
      </c>
      <c r="W25" s="59"/>
      <c r="X25" s="58">
        <v>4410</v>
      </c>
      <c r="Y25" s="59"/>
      <c r="Z25" s="58">
        <v>5410</v>
      </c>
      <c r="AA25" s="59"/>
      <c r="AB25" s="78"/>
      <c r="AC25" s="79"/>
    </row>
    <row r="26" spans="1:29" ht="24.75" customHeight="1">
      <c r="A26" s="110"/>
      <c r="B26" s="94" t="s">
        <v>47</v>
      </c>
      <c r="C26" s="95"/>
      <c r="D26" s="58">
        <v>7600</v>
      </c>
      <c r="E26" s="59"/>
      <c r="F26" s="58">
        <v>7600</v>
      </c>
      <c r="G26" s="59"/>
      <c r="H26" s="58">
        <v>6100</v>
      </c>
      <c r="I26" s="59"/>
      <c r="J26" s="58">
        <v>5300</v>
      </c>
      <c r="K26" s="59"/>
      <c r="L26" s="58">
        <v>5300</v>
      </c>
      <c r="M26" s="59"/>
      <c r="N26" s="58">
        <v>5300</v>
      </c>
      <c r="O26" s="59"/>
      <c r="P26" s="58">
        <v>5300</v>
      </c>
      <c r="Q26" s="59"/>
      <c r="R26" s="58">
        <v>5300</v>
      </c>
      <c r="S26" s="59"/>
      <c r="T26" s="58">
        <v>5300</v>
      </c>
      <c r="U26" s="59"/>
      <c r="V26" s="58">
        <v>5300</v>
      </c>
      <c r="W26" s="59"/>
      <c r="X26" s="58">
        <v>5300</v>
      </c>
      <c r="Y26" s="59"/>
      <c r="Z26" s="58">
        <v>5300</v>
      </c>
      <c r="AA26" s="59"/>
      <c r="AB26" s="78"/>
      <c r="AC26" s="79"/>
    </row>
    <row r="27" spans="1:29" ht="24.75" customHeight="1">
      <c r="A27" s="111"/>
      <c r="B27" s="94" t="s">
        <v>48</v>
      </c>
      <c r="C27" s="95"/>
      <c r="D27" s="83">
        <v>0</v>
      </c>
      <c r="E27" s="84"/>
      <c r="F27" s="83">
        <v>0</v>
      </c>
      <c r="G27" s="84"/>
      <c r="H27" s="83">
        <v>0</v>
      </c>
      <c r="I27" s="84"/>
      <c r="J27" s="83">
        <v>0</v>
      </c>
      <c r="K27" s="84"/>
      <c r="L27" s="83">
        <v>0</v>
      </c>
      <c r="M27" s="84"/>
      <c r="N27" s="83">
        <v>0</v>
      </c>
      <c r="O27" s="84"/>
      <c r="P27" s="83">
        <v>0</v>
      </c>
      <c r="Q27" s="84"/>
      <c r="R27" s="83">
        <v>0</v>
      </c>
      <c r="S27" s="84"/>
      <c r="T27" s="83">
        <v>0</v>
      </c>
      <c r="U27" s="84"/>
      <c r="V27" s="83">
        <v>0</v>
      </c>
      <c r="W27" s="84"/>
      <c r="X27" s="83">
        <v>0</v>
      </c>
      <c r="Y27" s="84"/>
      <c r="Z27" s="83">
        <v>0</v>
      </c>
      <c r="AA27" s="84"/>
      <c r="AB27" s="96"/>
      <c r="AC27" s="97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>
        <v>250</v>
      </c>
      <c r="I28" s="102"/>
      <c r="J28" s="101">
        <v>1000</v>
      </c>
      <c r="K28" s="102"/>
      <c r="L28" s="101">
        <v>11750</v>
      </c>
      <c r="M28" s="102"/>
      <c r="N28" s="101"/>
      <c r="O28" s="102"/>
      <c r="P28" s="101"/>
      <c r="Q28" s="102"/>
      <c r="R28" s="101"/>
      <c r="S28" s="102"/>
      <c r="T28" s="101">
        <v>10000</v>
      </c>
      <c r="U28" s="102"/>
      <c r="V28" s="101"/>
      <c r="W28" s="102"/>
      <c r="X28" s="101">
        <v>500</v>
      </c>
      <c r="Y28" s="102"/>
      <c r="Z28" s="101"/>
      <c r="AA28" s="102"/>
      <c r="AB28" s="122"/>
      <c r="AC28" s="123"/>
    </row>
    <row r="29" spans="1:29" ht="24.75" customHeight="1" thickBot="1">
      <c r="A29" s="71" t="s">
        <v>36</v>
      </c>
      <c r="B29" s="72"/>
      <c r="C29" s="73"/>
      <c r="D29" s="83">
        <f>SUM(D24:D28)</f>
        <v>11642</v>
      </c>
      <c r="E29" s="84"/>
      <c r="F29" s="83">
        <f t="shared" ref="F29" si="30">SUM(F24:F28)</f>
        <v>10021.4</v>
      </c>
      <c r="G29" s="84"/>
      <c r="H29" s="83">
        <f t="shared" ref="H29" si="31">SUM(H24:H28)</f>
        <v>6546.8</v>
      </c>
      <c r="I29" s="84"/>
      <c r="J29" s="83">
        <f t="shared" ref="J29" si="32">SUM(J24:J28)</f>
        <v>10962.454</v>
      </c>
      <c r="K29" s="84"/>
      <c r="L29" s="83">
        <f t="shared" ref="L29" si="33">SUM(L24:L28)</f>
        <v>18025.8</v>
      </c>
      <c r="M29" s="84"/>
      <c r="N29" s="83">
        <f t="shared" ref="N29" si="34">SUM(N24:N28)</f>
        <v>8246</v>
      </c>
      <c r="O29" s="84"/>
      <c r="P29" s="83">
        <f t="shared" ref="P29" si="35">SUM(P24:P28)</f>
        <v>8725.5</v>
      </c>
      <c r="Q29" s="84"/>
      <c r="R29" s="83">
        <f t="shared" ref="R29" si="36">SUM(R24:R28)</f>
        <v>10804</v>
      </c>
      <c r="S29" s="84"/>
      <c r="T29" s="83">
        <f t="shared" ref="T29" si="37">SUM(T24:T28)</f>
        <v>20889.599999999999</v>
      </c>
      <c r="U29" s="84"/>
      <c r="V29" s="83">
        <f t="shared" ref="V29" si="38">SUM(V24:V28)</f>
        <v>9495</v>
      </c>
      <c r="W29" s="84"/>
      <c r="X29" s="83">
        <f t="shared" ref="X29" si="39">SUM(X24:X28)</f>
        <v>10773.358</v>
      </c>
      <c r="Y29" s="84"/>
      <c r="Z29" s="83">
        <f t="shared" ref="Z29" si="40">SUM(Z24:Z28)</f>
        <v>11359.5</v>
      </c>
      <c r="AA29" s="131"/>
      <c r="AB29" s="96">
        <f t="shared" ref="AB29" si="41">SUM(AB24:AB28)</f>
        <v>0</v>
      </c>
      <c r="AC29" s="97"/>
    </row>
    <row r="30" spans="1:29" ht="24.75" customHeight="1" thickTop="1" thickBot="1">
      <c r="A30" s="132" t="s">
        <v>37</v>
      </c>
      <c r="B30" s="133"/>
      <c r="C30" s="134"/>
      <c r="D30" s="126">
        <f>D23-D29</f>
        <v>152358</v>
      </c>
      <c r="E30" s="127"/>
      <c r="F30" s="126">
        <f>F23-F29</f>
        <v>113778.6</v>
      </c>
      <c r="G30" s="127"/>
      <c r="H30" s="126">
        <f>H23-H29</f>
        <v>59053.2</v>
      </c>
      <c r="I30" s="127"/>
      <c r="J30" s="126">
        <f>J23-J29</f>
        <v>169855.546</v>
      </c>
      <c r="K30" s="127"/>
      <c r="L30" s="126">
        <f>L23-L29</f>
        <v>80574.2</v>
      </c>
      <c r="M30" s="127"/>
      <c r="N30" s="126">
        <f>N23-N29</f>
        <v>123754</v>
      </c>
      <c r="O30" s="127"/>
      <c r="P30" s="126">
        <f>P23-P29</f>
        <v>139774.5</v>
      </c>
      <c r="Q30" s="127"/>
      <c r="R30" s="126">
        <f>R23-R29</f>
        <v>187196</v>
      </c>
      <c r="S30" s="127"/>
      <c r="T30" s="126">
        <f>T23-T29</f>
        <v>182310.39999999999</v>
      </c>
      <c r="U30" s="127"/>
      <c r="V30" s="126">
        <f>V23-V29</f>
        <v>155505</v>
      </c>
      <c r="W30" s="127"/>
      <c r="X30" s="126">
        <f>X21-X29</f>
        <v>177012.64199999999</v>
      </c>
      <c r="Y30" s="127"/>
      <c r="Z30" s="126">
        <f>Z23-Z29</f>
        <v>205140.5</v>
      </c>
      <c r="AA30" s="128"/>
      <c r="AB30" s="129">
        <f>D30+F30+H30+J30+L30+N30</f>
        <v>699373.54599999997</v>
      </c>
      <c r="AC30" s="130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ignoredErrors>
    <ignoredError sqref="J21" formula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BC5E-B10B-4120-ADF5-5ED16FDE7248}">
  <sheetPr codeName="Sheet5">
    <tabColor theme="5"/>
  </sheetPr>
  <dimension ref="A1:AC30"/>
  <sheetViews>
    <sheetView workbookViewId="0">
      <selection activeCell="L9" sqref="L9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58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>
        <v>15</v>
      </c>
      <c r="E7" s="4" t="s">
        <v>21</v>
      </c>
      <c r="F7" s="3">
        <v>16</v>
      </c>
      <c r="G7" s="4" t="s">
        <v>21</v>
      </c>
      <c r="H7" s="3">
        <v>16</v>
      </c>
      <c r="I7" s="4" t="s">
        <v>21</v>
      </c>
      <c r="J7" s="3">
        <v>20</v>
      </c>
      <c r="K7" s="4" t="s">
        <v>21</v>
      </c>
      <c r="L7" s="3">
        <v>12</v>
      </c>
      <c r="M7" s="4" t="s">
        <v>21</v>
      </c>
      <c r="N7" s="3">
        <v>12</v>
      </c>
      <c r="O7" s="4" t="s">
        <v>21</v>
      </c>
      <c r="P7" s="3">
        <v>18</v>
      </c>
      <c r="Q7" s="4" t="s">
        <v>21</v>
      </c>
      <c r="R7" s="3">
        <v>18</v>
      </c>
      <c r="S7" s="4" t="s">
        <v>21</v>
      </c>
      <c r="T7" s="3">
        <v>18</v>
      </c>
      <c r="U7" s="4" t="s">
        <v>21</v>
      </c>
      <c r="V7" s="3">
        <v>21</v>
      </c>
      <c r="W7" s="4" t="s">
        <v>21</v>
      </c>
      <c r="X7" s="3">
        <v>15</v>
      </c>
      <c r="Y7" s="4" t="s">
        <v>21</v>
      </c>
      <c r="Z7" s="3">
        <v>11</v>
      </c>
      <c r="AA7" s="4" t="s">
        <v>21</v>
      </c>
      <c r="AB7" s="24"/>
      <c r="AC7" s="9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>
        <v>2</v>
      </c>
      <c r="M8" s="4" t="s">
        <v>21</v>
      </c>
      <c r="N8" s="3"/>
      <c r="O8" s="4" t="s">
        <v>21</v>
      </c>
      <c r="P8" s="3"/>
      <c r="Q8" s="4" t="s">
        <v>21</v>
      </c>
      <c r="R8" s="3">
        <v>2</v>
      </c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>
        <v>15</v>
      </c>
      <c r="E9" s="4" t="s">
        <v>22</v>
      </c>
      <c r="F9" s="3">
        <v>4</v>
      </c>
      <c r="G9" s="4" t="s">
        <v>22</v>
      </c>
      <c r="H9" s="3"/>
      <c r="I9" s="4" t="s">
        <v>22</v>
      </c>
      <c r="J9" s="3">
        <v>3</v>
      </c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6</v>
      </c>
      <c r="S9" s="4" t="s">
        <v>22</v>
      </c>
      <c r="T9" s="3">
        <v>3</v>
      </c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5" t="s">
        <v>69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6</v>
      </c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>
        <v>7800</v>
      </c>
      <c r="E11" s="75"/>
      <c r="F11" s="74">
        <v>7800</v>
      </c>
      <c r="G11" s="75"/>
      <c r="H11" s="74">
        <v>7800</v>
      </c>
      <c r="I11" s="75"/>
      <c r="J11" s="74">
        <v>7800</v>
      </c>
      <c r="K11" s="75"/>
      <c r="L11" s="74">
        <v>7800</v>
      </c>
      <c r="M11" s="75"/>
      <c r="N11" s="74">
        <v>7800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5"/>
      <c r="AB11" s="76"/>
      <c r="AC11" s="77"/>
    </row>
    <row r="12" spans="1:29" ht="24.75" customHeight="1">
      <c r="A12" s="65" t="s">
        <v>49</v>
      </c>
      <c r="B12" s="66"/>
      <c r="C12" s="67"/>
      <c r="D12" s="58">
        <v>1219</v>
      </c>
      <c r="E12" s="59"/>
      <c r="F12" s="58">
        <v>1218</v>
      </c>
      <c r="G12" s="59"/>
      <c r="H12" s="58">
        <v>1218</v>
      </c>
      <c r="I12" s="59"/>
      <c r="J12" s="58">
        <v>1218</v>
      </c>
      <c r="K12" s="59"/>
      <c r="L12" s="58">
        <v>1218</v>
      </c>
      <c r="M12" s="59"/>
      <c r="N12" s="58">
        <v>1218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59"/>
      <c r="AB12" s="78"/>
      <c r="AC12" s="79"/>
    </row>
    <row r="13" spans="1:29" ht="24.75" customHeight="1">
      <c r="A13" s="89" t="s">
        <v>27</v>
      </c>
      <c r="B13" s="90"/>
      <c r="C13" s="66"/>
      <c r="D13" s="58">
        <v>9750</v>
      </c>
      <c r="E13" s="59"/>
      <c r="F13" s="58">
        <v>9750</v>
      </c>
      <c r="G13" s="59"/>
      <c r="H13" s="58">
        <v>9750</v>
      </c>
      <c r="I13" s="59"/>
      <c r="J13" s="58">
        <v>9750</v>
      </c>
      <c r="K13" s="59"/>
      <c r="L13" s="58">
        <v>9750</v>
      </c>
      <c r="M13" s="59"/>
      <c r="N13" s="58">
        <v>9750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59"/>
      <c r="AB13" s="78"/>
      <c r="AC13" s="79"/>
    </row>
    <row r="14" spans="1:29" ht="24.75" customHeight="1" thickBot="1">
      <c r="A14" s="80" t="s">
        <v>50</v>
      </c>
      <c r="B14" s="81"/>
      <c r="C14" s="82"/>
      <c r="D14" s="85">
        <v>1523</v>
      </c>
      <c r="E14" s="86"/>
      <c r="F14" s="85">
        <v>1523</v>
      </c>
      <c r="G14" s="86"/>
      <c r="H14" s="85">
        <v>1523</v>
      </c>
      <c r="I14" s="86"/>
      <c r="J14" s="85">
        <v>1523</v>
      </c>
      <c r="K14" s="86"/>
      <c r="L14" s="85">
        <v>1523</v>
      </c>
      <c r="M14" s="86"/>
      <c r="N14" s="85">
        <v>1523</v>
      </c>
      <c r="O14" s="86"/>
      <c r="P14" s="85">
        <v>1562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86"/>
      <c r="AB14" s="87"/>
      <c r="AC14" s="88"/>
    </row>
    <row r="15" spans="1:29" ht="24.75" customHeight="1" thickTop="1">
      <c r="A15" s="91" t="s">
        <v>42</v>
      </c>
      <c r="B15" s="28"/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96"/>
      <c r="AC15" s="97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78"/>
      <c r="AC16" s="79"/>
    </row>
    <row r="17" spans="1:29" ht="24.75" customHeight="1">
      <c r="A17" s="92"/>
      <c r="B17" s="16"/>
      <c r="C17" s="7" t="s">
        <v>45</v>
      </c>
      <c r="D17" s="58"/>
      <c r="E17" s="59"/>
      <c r="F17" s="58">
        <v>1500</v>
      </c>
      <c r="G17" s="59"/>
      <c r="H17" s="58">
        <v>1000</v>
      </c>
      <c r="I17" s="59"/>
      <c r="J17" s="58">
        <v>3000</v>
      </c>
      <c r="K17" s="59"/>
      <c r="L17" s="58">
        <v>10000</v>
      </c>
      <c r="M17" s="59"/>
      <c r="N17" s="58"/>
      <c r="O17" s="59"/>
      <c r="P17" s="58">
        <v>900</v>
      </c>
      <c r="Q17" s="59"/>
      <c r="R17" s="58">
        <v>1000</v>
      </c>
      <c r="S17" s="59"/>
      <c r="T17" s="58">
        <v>900</v>
      </c>
      <c r="U17" s="59"/>
      <c r="V17" s="58">
        <v>1050</v>
      </c>
      <c r="W17" s="59"/>
      <c r="X17" s="58">
        <v>750</v>
      </c>
      <c r="Y17" s="59"/>
      <c r="Z17" s="58">
        <v>550</v>
      </c>
      <c r="AA17" s="59"/>
      <c r="AB17" s="78"/>
      <c r="AC17" s="79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>
        <v>1400</v>
      </c>
      <c r="Q18" s="59"/>
      <c r="R18" s="58">
        <v>1400</v>
      </c>
      <c r="S18" s="59"/>
      <c r="T18" s="58">
        <v>1800</v>
      </c>
      <c r="U18" s="59"/>
      <c r="V18" s="58">
        <v>200</v>
      </c>
      <c r="W18" s="59"/>
      <c r="X18" s="58"/>
      <c r="Y18" s="59"/>
      <c r="Z18" s="58"/>
      <c r="AA18" s="59"/>
      <c r="AB18" s="78"/>
      <c r="AC18" s="79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>
        <v>1000</v>
      </c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78"/>
      <c r="AC19" s="79"/>
    </row>
    <row r="20" spans="1:29" ht="24.75" customHeight="1" thickBot="1">
      <c r="A20" s="93"/>
      <c r="B20" s="52" t="s">
        <v>30</v>
      </c>
      <c r="C20" s="48"/>
      <c r="D20" s="85"/>
      <c r="E20" s="86"/>
      <c r="F20" s="85"/>
      <c r="G20" s="86"/>
      <c r="H20" s="85"/>
      <c r="I20" s="86"/>
      <c r="J20" s="85"/>
      <c r="K20" s="86"/>
      <c r="L20" s="85">
        <v>10000</v>
      </c>
      <c r="M20" s="86"/>
      <c r="N20" s="85"/>
      <c r="O20" s="86"/>
      <c r="P20" s="85">
        <v>1000</v>
      </c>
      <c r="Q20" s="86"/>
      <c r="R20" s="85"/>
      <c r="S20" s="86"/>
      <c r="T20" s="85">
        <v>10000</v>
      </c>
      <c r="U20" s="86"/>
      <c r="V20" s="85">
        <v>3000</v>
      </c>
      <c r="W20" s="86"/>
      <c r="X20" s="85"/>
      <c r="Y20" s="86"/>
      <c r="Z20" s="85"/>
      <c r="AA20" s="86"/>
      <c r="AB20" s="87"/>
      <c r="AC20" s="88"/>
    </row>
    <row r="21" spans="1:29" ht="24.75" customHeight="1" thickTop="1">
      <c r="A21" s="71" t="s">
        <v>31</v>
      </c>
      <c r="B21" s="72"/>
      <c r="C21" s="73"/>
      <c r="D21" s="74">
        <f>INT(D7*D11+D9*D12)</f>
        <v>135285</v>
      </c>
      <c r="E21" s="75"/>
      <c r="F21" s="74">
        <f>INT(F7*F11+F9*F12+F17)</f>
        <v>131172</v>
      </c>
      <c r="G21" s="75"/>
      <c r="H21" s="74">
        <f t="shared" ref="H21" si="0">INT(H7*H11+H8*H13+H10*H12+H15+H16+H17+H18+H19+H20)</f>
        <v>126800</v>
      </c>
      <c r="I21" s="75"/>
      <c r="J21" s="74">
        <f>INT(J7*J11+J9*J12+J17)</f>
        <v>162654</v>
      </c>
      <c r="K21" s="75"/>
      <c r="L21" s="74">
        <f t="shared" ref="L21" si="1">INT(L7*L11+L8*L13+L10*L12+L15+L16+L17+L18+L19+L20)</f>
        <v>133100</v>
      </c>
      <c r="M21" s="75"/>
      <c r="N21" s="74">
        <f t="shared" ref="N21" si="2">INT(N7*N11+N8*N13+N10*N12+N15+N16+N17+N18+N19+N20)</f>
        <v>93600</v>
      </c>
      <c r="O21" s="75"/>
      <c r="P21" s="74">
        <f t="shared" ref="P21" si="3">INT(P7*P11+P8*P13+P10*P12+P15+P16+P17+P18+P19+P20)</f>
        <v>147300</v>
      </c>
      <c r="Q21" s="75"/>
      <c r="R21" s="74">
        <f>INT(R7*R11+R8*R13+R9*R12+R15+R16+R17+R18+R19+R20+R10*R14)</f>
        <v>183272</v>
      </c>
      <c r="S21" s="75"/>
      <c r="T21" s="74">
        <f>INT(T7*T11+T8*T13+T9*T12+T15+T16+T17+T18+T19+T20)</f>
        <v>160450</v>
      </c>
      <c r="U21" s="75"/>
      <c r="V21" s="74">
        <f t="shared" ref="V21" si="4">INT(V7*V11+V8*V13+V10*V12+V15+V16+V17+V18+V19+V20)</f>
        <v>172250</v>
      </c>
      <c r="W21" s="75"/>
      <c r="X21" s="74">
        <f t="shared" ref="X21" si="5">INT(X7*X11+X8*X13+X10*X12+X15+X16+X17+X18+X19+X20)</f>
        <v>120750</v>
      </c>
      <c r="Y21" s="75"/>
      <c r="Z21" s="74">
        <f t="shared" ref="Z21" si="6">INT(Z7*Z11+Z8*Z13+Z10*Z12+Z15+Z16+Z17+Z18+Z19+Z20)</f>
        <v>88550</v>
      </c>
      <c r="AA21" s="75"/>
      <c r="AB21" s="96"/>
      <c r="AC21" s="97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03"/>
      <c r="AC22" s="104"/>
    </row>
    <row r="23" spans="1:29" ht="24.75" customHeight="1" thickBot="1">
      <c r="A23" s="117" t="s">
        <v>20</v>
      </c>
      <c r="B23" s="118"/>
      <c r="C23" s="119"/>
      <c r="D23" s="105">
        <f>D21+D22</f>
        <v>135285</v>
      </c>
      <c r="E23" s="106"/>
      <c r="F23" s="105">
        <f t="shared" ref="F23" si="7">F21+F22</f>
        <v>131172</v>
      </c>
      <c r="G23" s="106"/>
      <c r="H23" s="105">
        <f t="shared" ref="H23" si="8">H21+H22</f>
        <v>126800</v>
      </c>
      <c r="I23" s="106"/>
      <c r="J23" s="105">
        <f t="shared" ref="J23" si="9">J21+J22</f>
        <v>162654</v>
      </c>
      <c r="K23" s="106"/>
      <c r="L23" s="105">
        <f t="shared" ref="L23" si="10">L21+L22</f>
        <v>133100</v>
      </c>
      <c r="M23" s="106"/>
      <c r="N23" s="105">
        <f t="shared" ref="N23" si="11">N21+N22</f>
        <v>93600</v>
      </c>
      <c r="O23" s="106"/>
      <c r="P23" s="105">
        <f t="shared" ref="P23" si="12">P21+P22</f>
        <v>147300</v>
      </c>
      <c r="Q23" s="106"/>
      <c r="R23" s="105">
        <f t="shared" ref="R23" si="13">R21+R22</f>
        <v>183272</v>
      </c>
      <c r="S23" s="106"/>
      <c r="T23" s="105">
        <f t="shared" ref="T23" si="14">T21+T22</f>
        <v>160450</v>
      </c>
      <c r="U23" s="106"/>
      <c r="V23" s="105">
        <f t="shared" ref="V23" si="15">V21+V22</f>
        <v>172250</v>
      </c>
      <c r="W23" s="106"/>
      <c r="X23" s="105">
        <f t="shared" ref="X23" si="16">X21+X22</f>
        <v>120750</v>
      </c>
      <c r="Y23" s="106"/>
      <c r="Z23" s="105">
        <f t="shared" ref="Z23" si="17">Z21+Z22</f>
        <v>88550</v>
      </c>
      <c r="AA23" s="106"/>
      <c r="AB23" s="107"/>
      <c r="AC23" s="108"/>
    </row>
    <row r="24" spans="1:29" ht="24.75" customHeight="1">
      <c r="A24" s="109" t="s">
        <v>33</v>
      </c>
      <c r="B24" s="113" t="s">
        <v>34</v>
      </c>
      <c r="C24" s="114"/>
      <c r="D24" s="115">
        <f>D23*0.003</f>
        <v>405.85500000000002</v>
      </c>
      <c r="E24" s="116"/>
      <c r="F24" s="115">
        <f t="shared" ref="F24" si="18">F23*0.003</f>
        <v>393.51600000000002</v>
      </c>
      <c r="G24" s="116"/>
      <c r="H24" s="115">
        <f t="shared" ref="H24" si="19">H23*0.003</f>
        <v>380.40000000000003</v>
      </c>
      <c r="I24" s="116"/>
      <c r="J24" s="115">
        <f t="shared" ref="J24" si="20">J23*0.003</f>
        <v>487.96199999999999</v>
      </c>
      <c r="K24" s="116"/>
      <c r="L24" s="115">
        <f t="shared" ref="L24" si="21">L23*0.003</f>
        <v>399.3</v>
      </c>
      <c r="M24" s="116"/>
      <c r="N24" s="115">
        <f t="shared" ref="N24" si="22">N23*0.003</f>
        <v>280.8</v>
      </c>
      <c r="O24" s="116"/>
      <c r="P24" s="115">
        <f t="shared" ref="P24" si="23">P23*0.003</f>
        <v>441.90000000000003</v>
      </c>
      <c r="Q24" s="116"/>
      <c r="R24" s="115">
        <f t="shared" ref="R24" si="24">R23*0.003</f>
        <v>549.81600000000003</v>
      </c>
      <c r="S24" s="116"/>
      <c r="T24" s="115">
        <f t="shared" ref="T24" si="25">T23*0.003</f>
        <v>481.35</v>
      </c>
      <c r="U24" s="116"/>
      <c r="V24" s="115">
        <f t="shared" ref="V24" si="26">V23*0.003</f>
        <v>516.75</v>
      </c>
      <c r="W24" s="116"/>
      <c r="X24" s="115">
        <f t="shared" ref="X24" si="27">X23*0.003</f>
        <v>362.25</v>
      </c>
      <c r="Y24" s="116"/>
      <c r="Z24" s="115">
        <f t="shared" ref="Z24" si="28">Z23*0.003</f>
        <v>265.64999999999998</v>
      </c>
      <c r="AA24" s="116"/>
      <c r="AB24" s="120"/>
      <c r="AC24" s="121"/>
    </row>
    <row r="25" spans="1:29" ht="24.75" customHeight="1">
      <c r="A25" s="110"/>
      <c r="B25" s="94" t="s">
        <v>35</v>
      </c>
      <c r="C25" s="95"/>
      <c r="D25" s="58">
        <v>1250</v>
      </c>
      <c r="E25" s="59"/>
      <c r="F25" s="58">
        <v>1000</v>
      </c>
      <c r="G25" s="59"/>
      <c r="H25" s="58">
        <v>2260</v>
      </c>
      <c r="I25" s="59"/>
      <c r="J25" s="58">
        <v>3550</v>
      </c>
      <c r="K25" s="59"/>
      <c r="L25" s="58">
        <v>530</v>
      </c>
      <c r="M25" s="59"/>
      <c r="N25" s="58">
        <v>1030</v>
      </c>
      <c r="O25" s="59"/>
      <c r="P25" s="58">
        <v>1300</v>
      </c>
      <c r="Q25" s="59"/>
      <c r="R25" s="58">
        <v>2980</v>
      </c>
      <c r="S25" s="59"/>
      <c r="T25" s="58">
        <v>1930</v>
      </c>
      <c r="U25" s="59"/>
      <c r="V25" s="58">
        <v>2290</v>
      </c>
      <c r="W25" s="59"/>
      <c r="X25" s="58">
        <v>430</v>
      </c>
      <c r="Y25" s="59"/>
      <c r="Z25" s="58">
        <v>130</v>
      </c>
      <c r="AA25" s="59"/>
      <c r="AB25" s="78"/>
      <c r="AC25" s="79"/>
    </row>
    <row r="26" spans="1:29" ht="24.75" customHeight="1">
      <c r="A26" s="110"/>
      <c r="B26" s="94" t="s">
        <v>47</v>
      </c>
      <c r="C26" s="95"/>
      <c r="D26" s="58">
        <v>0</v>
      </c>
      <c r="E26" s="59"/>
      <c r="F26" s="58">
        <v>0</v>
      </c>
      <c r="G26" s="59"/>
      <c r="H26" s="58">
        <v>0</v>
      </c>
      <c r="I26" s="59"/>
      <c r="J26" s="58">
        <v>0</v>
      </c>
      <c r="K26" s="59"/>
      <c r="L26" s="58">
        <v>0</v>
      </c>
      <c r="M26" s="59"/>
      <c r="N26" s="58">
        <v>0</v>
      </c>
      <c r="O26" s="59"/>
      <c r="P26" s="58">
        <v>0</v>
      </c>
      <c r="Q26" s="59"/>
      <c r="R26" s="58">
        <v>0</v>
      </c>
      <c r="S26" s="59"/>
      <c r="T26" s="58">
        <v>0</v>
      </c>
      <c r="U26" s="59"/>
      <c r="V26" s="58">
        <v>0</v>
      </c>
      <c r="W26" s="59"/>
      <c r="X26" s="58">
        <v>0</v>
      </c>
      <c r="Y26" s="59"/>
      <c r="Z26" s="58">
        <v>0</v>
      </c>
      <c r="AA26" s="59"/>
      <c r="AB26" s="78"/>
      <c r="AC26" s="79"/>
    </row>
    <row r="27" spans="1:29" ht="24.75" customHeight="1">
      <c r="A27" s="111"/>
      <c r="B27" s="94" t="s">
        <v>48</v>
      </c>
      <c r="C27" s="95"/>
      <c r="D27" s="83">
        <v>0</v>
      </c>
      <c r="E27" s="84"/>
      <c r="F27" s="58">
        <v>0</v>
      </c>
      <c r="G27" s="59"/>
      <c r="H27" s="58">
        <v>0</v>
      </c>
      <c r="I27" s="59"/>
      <c r="J27" s="58">
        <v>0</v>
      </c>
      <c r="K27" s="59"/>
      <c r="L27" s="58">
        <v>0</v>
      </c>
      <c r="M27" s="59"/>
      <c r="N27" s="58">
        <v>0</v>
      </c>
      <c r="O27" s="59"/>
      <c r="P27" s="58">
        <v>0</v>
      </c>
      <c r="Q27" s="59"/>
      <c r="R27" s="58">
        <v>0</v>
      </c>
      <c r="S27" s="59"/>
      <c r="T27" s="58">
        <v>0</v>
      </c>
      <c r="U27" s="59"/>
      <c r="V27" s="58">
        <v>0</v>
      </c>
      <c r="W27" s="59"/>
      <c r="X27" s="58">
        <v>0</v>
      </c>
      <c r="Y27" s="59"/>
      <c r="Z27" s="58">
        <v>0</v>
      </c>
      <c r="AA27" s="59"/>
      <c r="AB27" s="96"/>
      <c r="AC27" s="97"/>
    </row>
    <row r="28" spans="1:29" ht="24.75" customHeight="1" thickBot="1">
      <c r="A28" s="112"/>
      <c r="B28" s="124" t="s">
        <v>51</v>
      </c>
      <c r="C28" s="125"/>
      <c r="D28" s="101">
        <v>3750</v>
      </c>
      <c r="E28" s="102"/>
      <c r="F28" s="101">
        <v>3750</v>
      </c>
      <c r="G28" s="102"/>
      <c r="H28" s="101">
        <v>2750</v>
      </c>
      <c r="I28" s="102"/>
      <c r="J28" s="101">
        <v>1250</v>
      </c>
      <c r="K28" s="102"/>
      <c r="L28" s="101">
        <v>13250</v>
      </c>
      <c r="M28" s="102"/>
      <c r="N28" s="101">
        <v>2500</v>
      </c>
      <c r="O28" s="102"/>
      <c r="P28" s="101">
        <v>2500</v>
      </c>
      <c r="Q28" s="102"/>
      <c r="R28" s="101">
        <v>2500</v>
      </c>
      <c r="S28" s="102"/>
      <c r="T28" s="101">
        <v>12250</v>
      </c>
      <c r="U28" s="102"/>
      <c r="V28" s="101">
        <v>5000</v>
      </c>
      <c r="W28" s="102"/>
      <c r="X28" s="101">
        <v>3500</v>
      </c>
      <c r="Y28" s="102"/>
      <c r="Z28" s="101">
        <v>1500</v>
      </c>
      <c r="AA28" s="102"/>
      <c r="AB28" s="122"/>
      <c r="AC28" s="123"/>
    </row>
    <row r="29" spans="1:29" ht="24.75" customHeight="1" thickBot="1">
      <c r="A29" s="71" t="s">
        <v>36</v>
      </c>
      <c r="B29" s="72"/>
      <c r="C29" s="73"/>
      <c r="D29" s="83">
        <f>SUM(D24:D28)</f>
        <v>5405.8549999999996</v>
      </c>
      <c r="E29" s="84"/>
      <c r="F29" s="83">
        <f t="shared" ref="F29" si="29">SUM(F24:F28)</f>
        <v>5143.5159999999996</v>
      </c>
      <c r="G29" s="84"/>
      <c r="H29" s="83">
        <f t="shared" ref="H29" si="30">SUM(H24:H28)</f>
        <v>5390.4</v>
      </c>
      <c r="I29" s="84"/>
      <c r="J29" s="83">
        <f t="shared" ref="J29" si="31">SUM(J24:J28)</f>
        <v>5287.9619999999995</v>
      </c>
      <c r="K29" s="84"/>
      <c r="L29" s="83">
        <f t="shared" ref="L29" si="32">SUM(L24:L28)</f>
        <v>14179.3</v>
      </c>
      <c r="M29" s="84"/>
      <c r="N29" s="83">
        <f t="shared" ref="N29" si="33">SUM(N24:N28)</f>
        <v>3810.8</v>
      </c>
      <c r="O29" s="84"/>
      <c r="P29" s="83">
        <f t="shared" ref="P29" si="34">SUM(P24:P28)</f>
        <v>4241.8999999999996</v>
      </c>
      <c r="Q29" s="84"/>
      <c r="R29" s="83">
        <f t="shared" ref="R29" si="35">SUM(R24:R28)</f>
        <v>6029.8159999999998</v>
      </c>
      <c r="S29" s="84"/>
      <c r="T29" s="83">
        <f t="shared" ref="T29" si="36">SUM(T24:T28)</f>
        <v>14661.35</v>
      </c>
      <c r="U29" s="84"/>
      <c r="V29" s="83">
        <f t="shared" ref="V29" si="37">SUM(V24:V28)</f>
        <v>7806.75</v>
      </c>
      <c r="W29" s="84"/>
      <c r="X29" s="83">
        <f t="shared" ref="X29" si="38">SUM(X24:X28)</f>
        <v>4292.25</v>
      </c>
      <c r="Y29" s="84"/>
      <c r="Z29" s="83">
        <f t="shared" ref="Z29" si="39">SUM(Z24:Z28)</f>
        <v>1895.65</v>
      </c>
      <c r="AA29" s="131"/>
      <c r="AB29" s="96">
        <f t="shared" ref="AB29" si="40">SUM(AB24:AB28)</f>
        <v>0</v>
      </c>
      <c r="AC29" s="97"/>
    </row>
    <row r="30" spans="1:29" ht="24.75" customHeight="1" thickTop="1" thickBot="1">
      <c r="A30" s="132" t="s">
        <v>37</v>
      </c>
      <c r="B30" s="133"/>
      <c r="C30" s="134"/>
      <c r="D30" s="126">
        <f>D23-D29</f>
        <v>129879.145</v>
      </c>
      <c r="E30" s="127"/>
      <c r="F30" s="126">
        <f>F23-F29</f>
        <v>126028.484</v>
      </c>
      <c r="G30" s="127"/>
      <c r="H30" s="126">
        <f>H23-H29</f>
        <v>121409.60000000001</v>
      </c>
      <c r="I30" s="127"/>
      <c r="J30" s="126">
        <f>J23-J29</f>
        <v>157366.038</v>
      </c>
      <c r="K30" s="127"/>
      <c r="L30" s="126">
        <f>L23-L29</f>
        <v>118920.7</v>
      </c>
      <c r="M30" s="127"/>
      <c r="N30" s="126">
        <f>N23-N29</f>
        <v>89789.2</v>
      </c>
      <c r="O30" s="127"/>
      <c r="P30" s="126">
        <f>P23-P29</f>
        <v>143058.1</v>
      </c>
      <c r="Q30" s="127"/>
      <c r="R30" s="126">
        <f>R23-R29</f>
        <v>177242.18400000001</v>
      </c>
      <c r="S30" s="127"/>
      <c r="T30" s="126">
        <f>T23-T29</f>
        <v>145788.65</v>
      </c>
      <c r="U30" s="127"/>
      <c r="V30" s="126">
        <f>V23-V29</f>
        <v>164443.25</v>
      </c>
      <c r="W30" s="127"/>
      <c r="X30" s="126">
        <f>X21-X29</f>
        <v>116457.75</v>
      </c>
      <c r="Y30" s="127"/>
      <c r="Z30" s="126">
        <f>Z23-Z29</f>
        <v>86654.35</v>
      </c>
      <c r="AA30" s="128"/>
      <c r="AB30" s="129">
        <f>D30+F30+H30+J30+L30+N30</f>
        <v>743393.1669999999</v>
      </c>
      <c r="AC30" s="130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39F0-04DD-46D1-9546-DA1F8B0A33DA}">
  <sheetPr codeName="Sheet12">
    <tabColor theme="5"/>
  </sheetPr>
  <dimension ref="A1:AC30"/>
  <sheetViews>
    <sheetView workbookViewId="0">
      <selection activeCell="X9" sqref="X9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178" t="s">
        <v>73</v>
      </c>
      <c r="T4" s="179"/>
      <c r="U4" s="179"/>
      <c r="V4" s="179"/>
      <c r="W4" s="179"/>
      <c r="X4" s="179"/>
      <c r="Y4" s="180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>
        <v>15</v>
      </c>
      <c r="E7" s="4" t="s">
        <v>77</v>
      </c>
      <c r="F7" s="3">
        <v>12</v>
      </c>
      <c r="G7" s="4" t="s">
        <v>21</v>
      </c>
      <c r="H7" s="3">
        <v>16</v>
      </c>
      <c r="I7" s="4" t="s">
        <v>21</v>
      </c>
      <c r="J7" s="3">
        <v>14</v>
      </c>
      <c r="K7" s="4" t="s">
        <v>21</v>
      </c>
      <c r="L7" s="3">
        <v>7</v>
      </c>
      <c r="M7" s="4" t="s">
        <v>21</v>
      </c>
      <c r="N7" s="3">
        <v>16</v>
      </c>
      <c r="O7" s="4" t="s">
        <v>21</v>
      </c>
      <c r="P7" s="3">
        <v>19</v>
      </c>
      <c r="Q7" s="4" t="s">
        <v>21</v>
      </c>
      <c r="R7" s="3">
        <v>22</v>
      </c>
      <c r="S7" s="4" t="s">
        <v>21</v>
      </c>
      <c r="T7" s="3">
        <v>21</v>
      </c>
      <c r="U7" s="4" t="s">
        <v>21</v>
      </c>
      <c r="V7" s="3">
        <v>19</v>
      </c>
      <c r="W7" s="4" t="s">
        <v>21</v>
      </c>
      <c r="X7" s="3">
        <v>16</v>
      </c>
      <c r="Y7" s="4" t="s">
        <v>21</v>
      </c>
      <c r="Z7" s="3">
        <v>17</v>
      </c>
      <c r="AA7" s="4" t="s">
        <v>21</v>
      </c>
      <c r="AB7" s="24"/>
      <c r="AC7" s="9" t="s">
        <v>21</v>
      </c>
    </row>
    <row r="8" spans="1:29" ht="24.75" customHeight="1">
      <c r="A8" s="65" t="s">
        <v>41</v>
      </c>
      <c r="B8" s="66"/>
      <c r="C8" s="67"/>
      <c r="D8" s="3">
        <v>1</v>
      </c>
      <c r="E8" s="4" t="s">
        <v>21</v>
      </c>
      <c r="F8" s="3"/>
      <c r="G8" s="4" t="s">
        <v>21</v>
      </c>
      <c r="H8" s="3">
        <v>1</v>
      </c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1</v>
      </c>
      <c r="S8" s="4" t="s">
        <v>21</v>
      </c>
      <c r="T8" s="3">
        <v>2</v>
      </c>
      <c r="U8" s="4" t="s">
        <v>21</v>
      </c>
      <c r="V8" s="3">
        <v>2</v>
      </c>
      <c r="W8" s="4" t="s">
        <v>21</v>
      </c>
      <c r="X8" s="3">
        <v>6</v>
      </c>
      <c r="Y8" s="4" t="s">
        <v>21</v>
      </c>
      <c r="Z8" s="3">
        <v>2</v>
      </c>
      <c r="AA8" s="4" t="s">
        <v>21</v>
      </c>
      <c r="AB8" s="24"/>
      <c r="AC8" s="9" t="s">
        <v>22</v>
      </c>
    </row>
    <row r="9" spans="1:29" ht="24.75" customHeight="1">
      <c r="A9" s="65" t="s">
        <v>85</v>
      </c>
      <c r="B9" s="66"/>
      <c r="C9" s="67"/>
      <c r="D9" s="3">
        <v>30</v>
      </c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3</v>
      </c>
      <c r="S9" s="4" t="s">
        <v>22</v>
      </c>
      <c r="T9" s="3">
        <v>3</v>
      </c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5" t="s">
        <v>69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3</v>
      </c>
      <c r="S10" s="4" t="s">
        <v>22</v>
      </c>
      <c r="T10" s="3">
        <v>6</v>
      </c>
      <c r="U10" s="4" t="s">
        <v>22</v>
      </c>
      <c r="V10" s="3">
        <v>4</v>
      </c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>
        <v>8000</v>
      </c>
      <c r="E11" s="75"/>
      <c r="F11" s="74">
        <v>8000</v>
      </c>
      <c r="G11" s="75"/>
      <c r="H11" s="74">
        <v>8000</v>
      </c>
      <c r="I11" s="75"/>
      <c r="J11" s="74">
        <v>8000</v>
      </c>
      <c r="K11" s="75"/>
      <c r="L11" s="74">
        <v>8000</v>
      </c>
      <c r="M11" s="75"/>
      <c r="N11" s="74">
        <v>8000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7"/>
      <c r="AB11" s="76"/>
      <c r="AC11" s="77"/>
    </row>
    <row r="12" spans="1:29" ht="24.75" customHeight="1">
      <c r="A12" s="65" t="s">
        <v>49</v>
      </c>
      <c r="B12" s="66"/>
      <c r="C12" s="67"/>
      <c r="D12" s="58">
        <v>1250</v>
      </c>
      <c r="E12" s="59"/>
      <c r="F12" s="58">
        <v>1250</v>
      </c>
      <c r="G12" s="59"/>
      <c r="H12" s="58">
        <v>1250</v>
      </c>
      <c r="I12" s="59"/>
      <c r="J12" s="58">
        <v>1250</v>
      </c>
      <c r="K12" s="59"/>
      <c r="L12" s="58">
        <v>1250</v>
      </c>
      <c r="M12" s="59"/>
      <c r="N12" s="58">
        <v>1250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79"/>
      <c r="AB12" s="78"/>
      <c r="AC12" s="79"/>
    </row>
    <row r="13" spans="1:29" ht="24.75" customHeight="1">
      <c r="A13" s="89" t="s">
        <v>27</v>
      </c>
      <c r="B13" s="90"/>
      <c r="C13" s="66"/>
      <c r="D13" s="58">
        <v>10000</v>
      </c>
      <c r="E13" s="59"/>
      <c r="F13" s="58">
        <v>10000</v>
      </c>
      <c r="G13" s="59"/>
      <c r="H13" s="58">
        <v>10000</v>
      </c>
      <c r="I13" s="59"/>
      <c r="J13" s="58">
        <v>10000</v>
      </c>
      <c r="K13" s="59"/>
      <c r="L13" s="58">
        <v>10000</v>
      </c>
      <c r="M13" s="59"/>
      <c r="N13" s="58">
        <v>10000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79"/>
      <c r="AB13" s="78"/>
      <c r="AC13" s="79"/>
    </row>
    <row r="14" spans="1:29" ht="24.75" customHeight="1" thickBot="1">
      <c r="A14" s="80" t="s">
        <v>50</v>
      </c>
      <c r="B14" s="81"/>
      <c r="C14" s="82"/>
      <c r="D14" s="85">
        <v>1563</v>
      </c>
      <c r="E14" s="86"/>
      <c r="F14" s="85">
        <v>1563</v>
      </c>
      <c r="G14" s="86"/>
      <c r="H14" s="85">
        <v>1563</v>
      </c>
      <c r="I14" s="86"/>
      <c r="J14" s="85">
        <v>1563</v>
      </c>
      <c r="K14" s="86"/>
      <c r="L14" s="85">
        <v>1562</v>
      </c>
      <c r="M14" s="86"/>
      <c r="N14" s="85">
        <v>1562</v>
      </c>
      <c r="O14" s="86"/>
      <c r="P14" s="85">
        <v>1562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88"/>
      <c r="AB14" s="87"/>
      <c r="AC14" s="88"/>
    </row>
    <row r="15" spans="1:29" ht="24.75" customHeight="1" thickTop="1">
      <c r="A15" s="91" t="s">
        <v>42</v>
      </c>
      <c r="B15" s="28"/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96"/>
      <c r="AC15" s="97"/>
    </row>
    <row r="16" spans="1:29" ht="24.75" customHeight="1">
      <c r="A16" s="92"/>
      <c r="B16" s="8" t="s">
        <v>109</v>
      </c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>
        <v>50000</v>
      </c>
      <c r="M16" s="59"/>
      <c r="N16" s="58">
        <v>50000</v>
      </c>
      <c r="O16" s="59"/>
      <c r="P16" s="58">
        <v>50000</v>
      </c>
      <c r="Q16" s="59"/>
      <c r="R16" s="58">
        <v>50000</v>
      </c>
      <c r="S16" s="59"/>
      <c r="T16" s="58">
        <v>50000</v>
      </c>
      <c r="U16" s="59"/>
      <c r="V16" s="58">
        <v>50000</v>
      </c>
      <c r="W16" s="59"/>
      <c r="X16" s="58">
        <v>50000</v>
      </c>
      <c r="Y16" s="59"/>
      <c r="Z16" s="58">
        <v>50000</v>
      </c>
      <c r="AA16" s="59"/>
      <c r="AB16" s="78"/>
      <c r="AC16" s="79"/>
    </row>
    <row r="17" spans="1:29" ht="24.75" customHeight="1">
      <c r="A17" s="92"/>
      <c r="B17" s="8" t="s">
        <v>103</v>
      </c>
      <c r="C17" s="7" t="s">
        <v>45</v>
      </c>
      <c r="D17" s="58">
        <v>12800</v>
      </c>
      <c r="E17" s="59"/>
      <c r="F17" s="58">
        <v>9600</v>
      </c>
      <c r="G17" s="59"/>
      <c r="H17" s="58">
        <v>13600</v>
      </c>
      <c r="I17" s="59"/>
      <c r="J17" s="58">
        <v>11200</v>
      </c>
      <c r="K17" s="59"/>
      <c r="L17" s="58">
        <v>5600</v>
      </c>
      <c r="M17" s="59"/>
      <c r="N17" s="58">
        <v>12800</v>
      </c>
      <c r="O17" s="59"/>
      <c r="P17" s="58">
        <v>19000</v>
      </c>
      <c r="Q17" s="59"/>
      <c r="R17" s="58">
        <v>18400</v>
      </c>
      <c r="S17" s="59"/>
      <c r="T17" s="58">
        <v>18800</v>
      </c>
      <c r="U17" s="59"/>
      <c r="V17" s="58">
        <v>18200</v>
      </c>
      <c r="W17" s="59"/>
      <c r="X17" s="58">
        <v>18200</v>
      </c>
      <c r="Y17" s="59"/>
      <c r="Z17" s="58">
        <v>15600</v>
      </c>
      <c r="AA17" s="59"/>
      <c r="AB17" s="78"/>
      <c r="AC17" s="79"/>
    </row>
    <row r="18" spans="1:29" ht="24.75" customHeight="1">
      <c r="A18" s="92"/>
      <c r="B18" s="94" t="s">
        <v>28</v>
      </c>
      <c r="C18" s="95"/>
      <c r="D18" s="58">
        <v>5000</v>
      </c>
      <c r="E18" s="59"/>
      <c r="F18" s="58">
        <v>5000</v>
      </c>
      <c r="G18" s="59"/>
      <c r="H18" s="58">
        <v>7837</v>
      </c>
      <c r="I18" s="59"/>
      <c r="J18" s="58"/>
      <c r="K18" s="59"/>
      <c r="L18" s="58">
        <v>10000</v>
      </c>
      <c r="M18" s="59"/>
      <c r="N18" s="58">
        <v>15000</v>
      </c>
      <c r="O18" s="59"/>
      <c r="P18" s="58">
        <v>8544</v>
      </c>
      <c r="Q18" s="59"/>
      <c r="R18" s="58">
        <v>15000</v>
      </c>
      <c r="S18" s="59"/>
      <c r="T18" s="58">
        <v>15000</v>
      </c>
      <c r="U18" s="59"/>
      <c r="V18" s="58">
        <v>10000</v>
      </c>
      <c r="W18" s="59"/>
      <c r="X18" s="58">
        <v>11360</v>
      </c>
      <c r="Y18" s="59"/>
      <c r="Z18" s="58">
        <v>9072</v>
      </c>
      <c r="AA18" s="59"/>
      <c r="AB18" s="78"/>
      <c r="AC18" s="79"/>
    </row>
    <row r="19" spans="1:29" ht="24.75" customHeight="1">
      <c r="A19" s="92"/>
      <c r="B19" s="94" t="s">
        <v>29</v>
      </c>
      <c r="C19" s="95"/>
      <c r="D19" s="58"/>
      <c r="E19" s="59"/>
      <c r="F19" s="58">
        <v>400</v>
      </c>
      <c r="G19" s="59"/>
      <c r="H19" s="58">
        <v>200</v>
      </c>
      <c r="I19" s="59"/>
      <c r="J19" s="58">
        <v>15000</v>
      </c>
      <c r="K19" s="59"/>
      <c r="L19" s="58">
        <v>0</v>
      </c>
      <c r="M19" s="59"/>
      <c r="N19" s="58">
        <v>0</v>
      </c>
      <c r="O19" s="59"/>
      <c r="P19" s="58">
        <v>1800</v>
      </c>
      <c r="Q19" s="59"/>
      <c r="R19" s="58">
        <v>4000</v>
      </c>
      <c r="S19" s="59"/>
      <c r="T19" s="58">
        <v>2250</v>
      </c>
      <c r="U19" s="59"/>
      <c r="V19" s="58">
        <v>450</v>
      </c>
      <c r="W19" s="59"/>
      <c r="X19" s="58">
        <v>2700</v>
      </c>
      <c r="Y19" s="59"/>
      <c r="Z19" s="58">
        <v>900</v>
      </c>
      <c r="AA19" s="59"/>
      <c r="AB19" s="78"/>
      <c r="AC19" s="79"/>
    </row>
    <row r="20" spans="1:29" ht="24.75" customHeight="1" thickBot="1">
      <c r="A20" s="93"/>
      <c r="B20" s="52" t="s">
        <v>30</v>
      </c>
      <c r="C20" s="48"/>
      <c r="D20" s="85"/>
      <c r="E20" s="86"/>
      <c r="F20" s="85">
        <v>500</v>
      </c>
      <c r="G20" s="86"/>
      <c r="H20" s="85">
        <v>80250</v>
      </c>
      <c r="I20" s="86"/>
      <c r="J20" s="85">
        <v>100000</v>
      </c>
      <c r="K20" s="86"/>
      <c r="L20" s="85">
        <v>13000</v>
      </c>
      <c r="M20" s="86"/>
      <c r="N20" s="85">
        <v>200</v>
      </c>
      <c r="O20" s="86"/>
      <c r="P20" s="85">
        <v>4000</v>
      </c>
      <c r="Q20" s="86"/>
      <c r="R20" s="85">
        <v>0</v>
      </c>
      <c r="S20" s="86"/>
      <c r="T20" s="85">
        <v>0</v>
      </c>
      <c r="U20" s="86"/>
      <c r="V20" s="85">
        <v>0</v>
      </c>
      <c r="W20" s="86"/>
      <c r="X20" s="85">
        <v>25000</v>
      </c>
      <c r="Y20" s="86"/>
      <c r="Z20" s="85"/>
      <c r="AA20" s="86"/>
      <c r="AB20" s="87"/>
      <c r="AC20" s="88"/>
    </row>
    <row r="21" spans="1:29" ht="24.75" customHeight="1" thickTop="1">
      <c r="A21" s="71" t="s">
        <v>31</v>
      </c>
      <c r="B21" s="72"/>
      <c r="C21" s="73"/>
      <c r="D21" s="74">
        <f>INT(D7*D11+D8*D13+D9*D12+D17+D18)</f>
        <v>185300</v>
      </c>
      <c r="E21" s="75"/>
      <c r="F21" s="74">
        <f t="shared" ref="F21" si="0">INT(F7*F11+F8*F13+F10*F12+F15+F16+F17+F18+F19+F20)</f>
        <v>111500</v>
      </c>
      <c r="G21" s="75"/>
      <c r="H21" s="74">
        <f t="shared" ref="H21" si="1">INT(H7*H11+H8*H13+H10*H12+H15+H16+H17+H18+H19+H20)</f>
        <v>239887</v>
      </c>
      <c r="I21" s="75"/>
      <c r="J21" s="74">
        <f t="shared" ref="J21" si="2">INT(J7*J11+J8*J13+J10*J12+J15+J16+J17+J18+J19+J20)</f>
        <v>238200</v>
      </c>
      <c r="K21" s="75"/>
      <c r="L21" s="74">
        <f t="shared" ref="L21" si="3">INT(L7*L11+L8*L13+L10*L12+L15+L16+L17+L18+L19+L20)</f>
        <v>134600</v>
      </c>
      <c r="M21" s="75"/>
      <c r="N21" s="74">
        <f>INT(N7*N11+N8*N13+N10*N12+N15+N16+N17+N18+N19+N20)</f>
        <v>206000</v>
      </c>
      <c r="O21" s="75"/>
      <c r="P21" s="74">
        <f t="shared" ref="P21" si="4">INT(P7*P11+P8*P13+P10*P12+P15+P16+P17+P18+P19+P20)</f>
        <v>235344</v>
      </c>
      <c r="Q21" s="75"/>
      <c r="R21" s="74">
        <f>INT(R7*R11+R8*R13+R10*R12+R15+R16+R17+R18+R19+R20+R9*R14)</f>
        <v>281836</v>
      </c>
      <c r="S21" s="75"/>
      <c r="T21" s="74">
        <f>INT(T7*T11+T8*T13+T10*T14+T9*T12+T15+T16+T17+T18+T19+T20)</f>
        <v>287172</v>
      </c>
      <c r="U21" s="75"/>
      <c r="V21" s="74">
        <f>INT(V7*V11+V8*V13+V10*V14+V15+V16+V17+V18+V19+V20)</f>
        <v>256898</v>
      </c>
      <c r="W21" s="75"/>
      <c r="X21" s="74">
        <f t="shared" ref="X21" si="5">INT(X7*X11+X8*X13+X10*X12+X15+X16+X17+X18+X19+X20)</f>
        <v>295260</v>
      </c>
      <c r="Y21" s="75"/>
      <c r="Z21" s="74">
        <f t="shared" ref="Z21" si="6">INT(Z7*Z11+Z8*Z13+Z10*Z12+Z15+Z16+Z17+Z18+Z19+Z20)</f>
        <v>231572</v>
      </c>
      <c r="AA21" s="75"/>
      <c r="AB21" s="96"/>
      <c r="AC21" s="97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>
        <v>50000</v>
      </c>
      <c r="M22" s="102"/>
      <c r="N22" s="101"/>
      <c r="O22" s="102"/>
      <c r="P22" s="101"/>
      <c r="Q22" s="102"/>
      <c r="R22" s="101"/>
      <c r="S22" s="102"/>
      <c r="T22" s="101">
        <v>50000</v>
      </c>
      <c r="U22" s="102"/>
      <c r="V22" s="101"/>
      <c r="W22" s="102"/>
      <c r="X22" s="101"/>
      <c r="Y22" s="102"/>
      <c r="Z22" s="101"/>
      <c r="AA22" s="102"/>
      <c r="AB22" s="103"/>
      <c r="AC22" s="104"/>
    </row>
    <row r="23" spans="1:29" ht="24.75" customHeight="1" thickBot="1">
      <c r="A23" s="117" t="s">
        <v>20</v>
      </c>
      <c r="B23" s="118"/>
      <c r="C23" s="119"/>
      <c r="D23" s="105">
        <f>D21+D22</f>
        <v>185300</v>
      </c>
      <c r="E23" s="106"/>
      <c r="F23" s="105">
        <f t="shared" ref="F23" si="7">F21+F22</f>
        <v>111500</v>
      </c>
      <c r="G23" s="106"/>
      <c r="H23" s="105">
        <f t="shared" ref="H23" si="8">H21+H22</f>
        <v>239887</v>
      </c>
      <c r="I23" s="106"/>
      <c r="J23" s="105">
        <f t="shared" ref="J23" si="9">J21+J22</f>
        <v>238200</v>
      </c>
      <c r="K23" s="106"/>
      <c r="L23" s="105">
        <f t="shared" ref="L23" si="10">L21+L22</f>
        <v>184600</v>
      </c>
      <c r="M23" s="106"/>
      <c r="N23" s="105">
        <f t="shared" ref="N23" si="11">N21+N22</f>
        <v>206000</v>
      </c>
      <c r="O23" s="106"/>
      <c r="P23" s="105">
        <f t="shared" ref="P23" si="12">P21+P22</f>
        <v>235344</v>
      </c>
      <c r="Q23" s="106"/>
      <c r="R23" s="105">
        <f t="shared" ref="R23" si="13">R21+R22</f>
        <v>281836</v>
      </c>
      <c r="S23" s="106"/>
      <c r="T23" s="105">
        <f t="shared" ref="T23" si="14">T21+T22</f>
        <v>337172</v>
      </c>
      <c r="U23" s="106"/>
      <c r="V23" s="105">
        <f t="shared" ref="V23" si="15">V21+V22</f>
        <v>256898</v>
      </c>
      <c r="W23" s="106"/>
      <c r="X23" s="105">
        <f t="shared" ref="X23" si="16">X21+X22</f>
        <v>295260</v>
      </c>
      <c r="Y23" s="106"/>
      <c r="Z23" s="105">
        <f t="shared" ref="Z23" si="17">Z21+Z22</f>
        <v>231572</v>
      </c>
      <c r="AA23" s="106"/>
      <c r="AB23" s="107"/>
      <c r="AC23" s="108"/>
    </row>
    <row r="24" spans="1:29" ht="24.75" customHeight="1">
      <c r="A24" s="109" t="s">
        <v>33</v>
      </c>
      <c r="B24" s="113" t="s">
        <v>34</v>
      </c>
      <c r="C24" s="114"/>
      <c r="D24" s="115">
        <f>D23*0.003</f>
        <v>555.9</v>
      </c>
      <c r="E24" s="116"/>
      <c r="F24" s="115">
        <f>F23*0.003</f>
        <v>334.5</v>
      </c>
      <c r="G24" s="116"/>
      <c r="H24" s="115">
        <f>H23*0.003</f>
        <v>719.66100000000006</v>
      </c>
      <c r="I24" s="116"/>
      <c r="J24" s="115">
        <f>J23*0.003</f>
        <v>714.6</v>
      </c>
      <c r="K24" s="116"/>
      <c r="L24" s="115">
        <f t="shared" ref="L24" si="18">L23*0.003</f>
        <v>553.80000000000007</v>
      </c>
      <c r="M24" s="116"/>
      <c r="N24" s="115">
        <f t="shared" ref="N24" si="19">N23*0.003</f>
        <v>618</v>
      </c>
      <c r="O24" s="116"/>
      <c r="P24" s="115">
        <f t="shared" ref="P24" si="20">P23*0.003</f>
        <v>706.03200000000004</v>
      </c>
      <c r="Q24" s="116"/>
      <c r="R24" s="115">
        <f t="shared" ref="R24" si="21">R23*0.003</f>
        <v>845.50800000000004</v>
      </c>
      <c r="S24" s="116"/>
      <c r="T24" s="115">
        <f t="shared" ref="T24" si="22">T23*0.003</f>
        <v>1011.5160000000001</v>
      </c>
      <c r="U24" s="116"/>
      <c r="V24" s="115">
        <f t="shared" ref="V24" si="23">V23*0.003</f>
        <v>770.69399999999996</v>
      </c>
      <c r="W24" s="116"/>
      <c r="X24" s="115">
        <f t="shared" ref="X24" si="24">X23*0.003</f>
        <v>885.78</v>
      </c>
      <c r="Y24" s="116"/>
      <c r="Z24" s="115">
        <f t="shared" ref="Z24" si="25">Z23*0.003</f>
        <v>694.71600000000001</v>
      </c>
      <c r="AA24" s="116"/>
      <c r="AB24" s="120"/>
      <c r="AC24" s="121"/>
    </row>
    <row r="25" spans="1:29" ht="24.75" customHeight="1">
      <c r="A25" s="110"/>
      <c r="B25" s="94" t="s">
        <v>35</v>
      </c>
      <c r="C25" s="95"/>
      <c r="D25" s="58">
        <v>4890</v>
      </c>
      <c r="E25" s="59"/>
      <c r="F25" s="58">
        <v>1240</v>
      </c>
      <c r="G25" s="59"/>
      <c r="H25" s="58">
        <v>5890</v>
      </c>
      <c r="I25" s="59"/>
      <c r="J25" s="58">
        <v>6210</v>
      </c>
      <c r="K25" s="59"/>
      <c r="L25" s="58">
        <v>4210</v>
      </c>
      <c r="M25" s="59"/>
      <c r="N25" s="58">
        <v>5200</v>
      </c>
      <c r="O25" s="59"/>
      <c r="P25" s="58">
        <v>5990</v>
      </c>
      <c r="Q25" s="59"/>
      <c r="R25" s="58">
        <v>7580</v>
      </c>
      <c r="S25" s="59"/>
      <c r="T25" s="58">
        <v>11360</v>
      </c>
      <c r="U25" s="59"/>
      <c r="V25" s="58">
        <v>7200</v>
      </c>
      <c r="W25" s="59"/>
      <c r="X25" s="58">
        <v>7920</v>
      </c>
      <c r="Y25" s="59"/>
      <c r="Z25" s="58">
        <v>5990</v>
      </c>
      <c r="AA25" s="59"/>
      <c r="AB25" s="78"/>
      <c r="AC25" s="79"/>
    </row>
    <row r="26" spans="1:29" ht="24.75" customHeight="1">
      <c r="A26" s="110"/>
      <c r="B26" s="94" t="s">
        <v>47</v>
      </c>
      <c r="C26" s="95"/>
      <c r="D26" s="58"/>
      <c r="E26" s="59"/>
      <c r="F26" s="58"/>
      <c r="G26" s="59"/>
      <c r="H26" s="58">
        <v>8200</v>
      </c>
      <c r="I26" s="59"/>
      <c r="J26" s="58">
        <v>7400</v>
      </c>
      <c r="K26" s="59"/>
      <c r="L26" s="58">
        <v>7400</v>
      </c>
      <c r="M26" s="59"/>
      <c r="N26" s="58">
        <v>7400</v>
      </c>
      <c r="O26" s="59"/>
      <c r="P26" s="58">
        <v>7400</v>
      </c>
      <c r="Q26" s="59"/>
      <c r="R26" s="58">
        <v>7400</v>
      </c>
      <c r="S26" s="59"/>
      <c r="T26" s="58">
        <v>7400</v>
      </c>
      <c r="U26" s="59"/>
      <c r="V26" s="58">
        <v>7400</v>
      </c>
      <c r="W26" s="59"/>
      <c r="X26" s="58">
        <v>7400</v>
      </c>
      <c r="Y26" s="59"/>
      <c r="Z26" s="58">
        <v>7400</v>
      </c>
      <c r="AA26" s="59"/>
      <c r="AB26" s="78"/>
      <c r="AC26" s="79"/>
    </row>
    <row r="27" spans="1:29" ht="24.75" customHeight="1">
      <c r="A27" s="111"/>
      <c r="B27" s="94" t="s">
        <v>48</v>
      </c>
      <c r="C27" s="95"/>
      <c r="D27" s="83">
        <v>14734</v>
      </c>
      <c r="E27" s="84"/>
      <c r="F27" s="83">
        <v>14734</v>
      </c>
      <c r="G27" s="84"/>
      <c r="H27" s="83">
        <v>14734</v>
      </c>
      <c r="I27" s="84"/>
      <c r="J27" s="83">
        <v>14734</v>
      </c>
      <c r="K27" s="84"/>
      <c r="L27" s="83">
        <v>14734</v>
      </c>
      <c r="M27" s="84"/>
      <c r="N27" s="83">
        <v>24532</v>
      </c>
      <c r="O27" s="84"/>
      <c r="P27" s="83">
        <v>24532</v>
      </c>
      <c r="Q27" s="84"/>
      <c r="R27" s="83">
        <v>24532</v>
      </c>
      <c r="S27" s="84"/>
      <c r="T27" s="83">
        <v>24532</v>
      </c>
      <c r="U27" s="84"/>
      <c r="V27" s="83">
        <v>24532</v>
      </c>
      <c r="W27" s="84"/>
      <c r="X27" s="83">
        <v>24532</v>
      </c>
      <c r="Y27" s="84"/>
      <c r="Z27" s="83">
        <v>24532</v>
      </c>
      <c r="AA27" s="84"/>
      <c r="AB27" s="96"/>
      <c r="AC27" s="97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>
        <v>50000</v>
      </c>
      <c r="M28" s="102"/>
      <c r="N28" s="101">
        <v>0</v>
      </c>
      <c r="O28" s="102"/>
      <c r="P28" s="101">
        <v>0</v>
      </c>
      <c r="Q28" s="102"/>
      <c r="R28" s="101">
        <v>0</v>
      </c>
      <c r="S28" s="102"/>
      <c r="T28" s="101">
        <v>50000</v>
      </c>
      <c r="U28" s="102"/>
      <c r="V28" s="101">
        <v>0</v>
      </c>
      <c r="W28" s="102"/>
      <c r="X28" s="101">
        <v>0</v>
      </c>
      <c r="Y28" s="102"/>
      <c r="Z28" s="101"/>
      <c r="AA28" s="102"/>
      <c r="AB28" s="122"/>
      <c r="AC28" s="123"/>
    </row>
    <row r="29" spans="1:29" ht="24.75" customHeight="1" thickBot="1">
      <c r="A29" s="71" t="s">
        <v>36</v>
      </c>
      <c r="B29" s="72"/>
      <c r="C29" s="73"/>
      <c r="D29" s="83">
        <f>SUM(D24:D28)</f>
        <v>20179.900000000001</v>
      </c>
      <c r="E29" s="84"/>
      <c r="F29" s="83">
        <f t="shared" ref="F29" si="26">SUM(F24:F28)</f>
        <v>16308.5</v>
      </c>
      <c r="G29" s="84"/>
      <c r="H29" s="83">
        <f t="shared" ref="H29" si="27">SUM(H24:H28)</f>
        <v>29543.661</v>
      </c>
      <c r="I29" s="84"/>
      <c r="J29" s="83">
        <f t="shared" ref="J29" si="28">SUM(J24:J28)</f>
        <v>29058.6</v>
      </c>
      <c r="K29" s="84"/>
      <c r="L29" s="83">
        <f t="shared" ref="L29" si="29">SUM(L24:L28)</f>
        <v>76897.8</v>
      </c>
      <c r="M29" s="84"/>
      <c r="N29" s="83">
        <f t="shared" ref="N29" si="30">SUM(N24:N28)</f>
        <v>37750</v>
      </c>
      <c r="O29" s="84"/>
      <c r="P29" s="83">
        <f t="shared" ref="P29" si="31">SUM(P24:P28)</f>
        <v>38628.031999999999</v>
      </c>
      <c r="Q29" s="84"/>
      <c r="R29" s="83">
        <f t="shared" ref="R29" si="32">SUM(R24:R28)</f>
        <v>40357.508000000002</v>
      </c>
      <c r="S29" s="84"/>
      <c r="T29" s="83">
        <f t="shared" ref="T29" si="33">SUM(T24:T28)</f>
        <v>94303.516000000003</v>
      </c>
      <c r="U29" s="84"/>
      <c r="V29" s="83">
        <f t="shared" ref="V29" si="34">SUM(V24:V28)</f>
        <v>39902.694000000003</v>
      </c>
      <c r="W29" s="84"/>
      <c r="X29" s="83">
        <f t="shared" ref="X29" si="35">SUM(X24:X28)</f>
        <v>40737.78</v>
      </c>
      <c r="Y29" s="84"/>
      <c r="Z29" s="83">
        <f t="shared" ref="Z29" si="36">SUM(Z24:Z28)</f>
        <v>38616.716</v>
      </c>
      <c r="AA29" s="131"/>
      <c r="AB29" s="96">
        <f t="shared" ref="AB29" si="37">SUM(AB24:AB28)</f>
        <v>0</v>
      </c>
      <c r="AC29" s="97"/>
    </row>
    <row r="30" spans="1:29" ht="24.75" customHeight="1" thickTop="1" thickBot="1">
      <c r="A30" s="132" t="s">
        <v>37</v>
      </c>
      <c r="B30" s="133"/>
      <c r="C30" s="134"/>
      <c r="D30" s="126">
        <f>D23-D29</f>
        <v>165120.1</v>
      </c>
      <c r="E30" s="127"/>
      <c r="F30" s="126">
        <f>F23-F29</f>
        <v>95191.5</v>
      </c>
      <c r="G30" s="127"/>
      <c r="H30" s="126">
        <f>H23-H29</f>
        <v>210343.33900000001</v>
      </c>
      <c r="I30" s="127"/>
      <c r="J30" s="126">
        <f>J23-J29</f>
        <v>209141.4</v>
      </c>
      <c r="K30" s="127"/>
      <c r="L30" s="126">
        <f>L23-L29</f>
        <v>107702.2</v>
      </c>
      <c r="M30" s="127"/>
      <c r="N30" s="126">
        <f>N23-N29</f>
        <v>168250</v>
      </c>
      <c r="O30" s="127"/>
      <c r="P30" s="126">
        <f>P23-P29</f>
        <v>196715.96799999999</v>
      </c>
      <c r="Q30" s="127"/>
      <c r="R30" s="126">
        <f>R23-R29</f>
        <v>241478.492</v>
      </c>
      <c r="S30" s="127"/>
      <c r="T30" s="126">
        <f>T23-T29</f>
        <v>242868.484</v>
      </c>
      <c r="U30" s="127"/>
      <c r="V30" s="126">
        <f>V23-V29</f>
        <v>216995.30599999998</v>
      </c>
      <c r="W30" s="127"/>
      <c r="X30" s="126">
        <f>X21-X29</f>
        <v>254522.22</v>
      </c>
      <c r="Y30" s="127"/>
      <c r="Z30" s="126">
        <f>Z23-Z29</f>
        <v>192955.28399999999</v>
      </c>
      <c r="AA30" s="128"/>
      <c r="AB30" s="129">
        <f>D30+F30+H30+T28+J30+L30+N30</f>
        <v>1005748.539</v>
      </c>
      <c r="AC30" s="130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44A26-1CC4-49F3-B839-97A07B9F4BBA}">
  <sheetPr>
    <tabColor theme="5"/>
  </sheetPr>
  <dimension ref="A1:AC31"/>
  <sheetViews>
    <sheetView topLeftCell="A11" workbookViewId="0">
      <selection activeCell="B33" sqref="B3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2.5" customHeight="1">
      <c r="A1" s="37" t="s">
        <v>127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22.5" customHeight="1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22.5" customHeight="1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22.5" customHeight="1" thickBot="1">
      <c r="A4" s="45"/>
      <c r="B4" s="46"/>
      <c r="C4" s="47"/>
      <c r="D4" s="48"/>
      <c r="E4" s="49" t="s">
        <v>5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178" t="s">
        <v>74</v>
      </c>
      <c r="T4" s="179"/>
      <c r="U4" s="179"/>
      <c r="V4" s="179"/>
      <c r="W4" s="179"/>
      <c r="X4" s="179"/>
      <c r="Y4" s="180"/>
      <c r="Z4" s="56" t="s">
        <v>6</v>
      </c>
      <c r="AA4" s="56"/>
      <c r="AB4" s="56"/>
      <c r="AC4" s="57"/>
    </row>
    <row r="5" spans="1:29" ht="22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2.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1"/>
      <c r="AB6" s="60" t="s">
        <v>20</v>
      </c>
      <c r="AC6" s="64"/>
    </row>
    <row r="7" spans="1:29" ht="22.5" customHeight="1">
      <c r="A7" s="65" t="s">
        <v>89</v>
      </c>
      <c r="B7" s="66"/>
      <c r="C7" s="67"/>
      <c r="D7" s="3">
        <v>17</v>
      </c>
      <c r="E7" s="4" t="s">
        <v>21</v>
      </c>
      <c r="F7" s="3">
        <v>15</v>
      </c>
      <c r="G7" s="4" t="s">
        <v>21</v>
      </c>
      <c r="H7" s="3">
        <v>13</v>
      </c>
      <c r="I7" s="4" t="s">
        <v>21</v>
      </c>
      <c r="J7" s="3">
        <v>19</v>
      </c>
      <c r="K7" s="4" t="s">
        <v>21</v>
      </c>
      <c r="L7" s="3">
        <v>7</v>
      </c>
      <c r="M7" s="4" t="s">
        <v>21</v>
      </c>
      <c r="N7" s="3">
        <v>14</v>
      </c>
      <c r="O7" s="4" t="s">
        <v>21</v>
      </c>
      <c r="P7" s="3">
        <v>21</v>
      </c>
      <c r="Q7" s="4" t="s">
        <v>21</v>
      </c>
      <c r="R7" s="3">
        <v>23</v>
      </c>
      <c r="S7" s="4" t="s">
        <v>21</v>
      </c>
      <c r="T7" s="3">
        <v>19</v>
      </c>
      <c r="U7" s="4" t="s">
        <v>21</v>
      </c>
      <c r="V7" s="3">
        <v>22</v>
      </c>
      <c r="W7" s="4" t="s">
        <v>21</v>
      </c>
      <c r="X7" s="3">
        <v>18</v>
      </c>
      <c r="Y7" s="4" t="s">
        <v>21</v>
      </c>
      <c r="Z7" s="3">
        <v>15</v>
      </c>
      <c r="AA7" s="4" t="s">
        <v>21</v>
      </c>
      <c r="AB7" s="5"/>
      <c r="AC7" s="9" t="s">
        <v>21</v>
      </c>
    </row>
    <row r="8" spans="1:29" ht="22.5" customHeight="1">
      <c r="A8" s="65" t="s">
        <v>90</v>
      </c>
      <c r="B8" s="66"/>
      <c r="C8" s="67"/>
      <c r="D8" s="3"/>
      <c r="E8" s="4" t="s">
        <v>86</v>
      </c>
      <c r="F8" s="3"/>
      <c r="G8" s="4" t="s">
        <v>86</v>
      </c>
      <c r="H8" s="3"/>
      <c r="I8" s="4" t="s">
        <v>86</v>
      </c>
      <c r="J8" s="3"/>
      <c r="K8" s="4" t="s">
        <v>86</v>
      </c>
      <c r="L8" s="3"/>
      <c r="M8" s="4" t="s">
        <v>86</v>
      </c>
      <c r="N8" s="3"/>
      <c r="O8" s="4" t="s">
        <v>86</v>
      </c>
      <c r="P8" s="3"/>
      <c r="Q8" s="4" t="s">
        <v>86</v>
      </c>
      <c r="R8" s="3">
        <v>1</v>
      </c>
      <c r="S8" s="4" t="s">
        <v>86</v>
      </c>
      <c r="T8" s="3"/>
      <c r="U8" s="4" t="s">
        <v>86</v>
      </c>
      <c r="V8" s="3"/>
      <c r="W8" s="4" t="s">
        <v>86</v>
      </c>
      <c r="X8" s="3">
        <v>3</v>
      </c>
      <c r="Y8" s="4" t="s">
        <v>86</v>
      </c>
      <c r="Z8" s="3"/>
      <c r="AA8" s="4" t="s">
        <v>86</v>
      </c>
      <c r="AB8" s="5"/>
      <c r="AC8" s="9" t="s">
        <v>86</v>
      </c>
    </row>
    <row r="9" spans="1:29" ht="22.5" customHeight="1">
      <c r="A9" s="65" t="s">
        <v>85</v>
      </c>
      <c r="B9" s="66"/>
      <c r="C9" s="67"/>
      <c r="D9" s="3">
        <v>4.5</v>
      </c>
      <c r="E9" s="4" t="s">
        <v>22</v>
      </c>
      <c r="F9" s="3"/>
      <c r="G9" s="4" t="s">
        <v>22</v>
      </c>
      <c r="H9" s="3"/>
      <c r="I9" s="4" t="s">
        <v>22</v>
      </c>
      <c r="J9" s="3">
        <v>3</v>
      </c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2.5" customHeight="1" thickBot="1">
      <c r="A10" s="80" t="s">
        <v>91</v>
      </c>
      <c r="B10" s="81"/>
      <c r="C10" s="8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3</v>
      </c>
      <c r="S10" s="4" t="s">
        <v>22</v>
      </c>
      <c r="T10" s="3"/>
      <c r="U10" s="4" t="s">
        <v>22</v>
      </c>
      <c r="V10" s="3"/>
      <c r="W10" s="4" t="s">
        <v>22</v>
      </c>
      <c r="X10" s="3">
        <v>2.5</v>
      </c>
      <c r="Y10" s="4" t="s">
        <v>22</v>
      </c>
      <c r="Z10" s="3"/>
      <c r="AA10" s="4" t="s">
        <v>22</v>
      </c>
      <c r="AB10" s="5"/>
      <c r="AC10" s="9" t="s">
        <v>22</v>
      </c>
    </row>
    <row r="11" spans="1:29" ht="22.5" customHeight="1" thickTop="1">
      <c r="A11" s="71" t="s">
        <v>92</v>
      </c>
      <c r="B11" s="72"/>
      <c r="C11" s="73"/>
      <c r="D11" s="74">
        <v>7880</v>
      </c>
      <c r="E11" s="75"/>
      <c r="F11" s="74">
        <v>7880</v>
      </c>
      <c r="G11" s="75"/>
      <c r="H11" s="74">
        <v>7880</v>
      </c>
      <c r="I11" s="75"/>
      <c r="J11" s="74">
        <v>7880</v>
      </c>
      <c r="K11" s="75"/>
      <c r="L11" s="74">
        <v>7880</v>
      </c>
      <c r="M11" s="75"/>
      <c r="N11" s="74">
        <v>7880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5"/>
      <c r="AB11" s="74">
        <v>8600</v>
      </c>
      <c r="AC11" s="77"/>
    </row>
    <row r="12" spans="1:29" ht="22.5" customHeight="1">
      <c r="A12" s="65" t="s">
        <v>85</v>
      </c>
      <c r="B12" s="66"/>
      <c r="C12" s="67"/>
      <c r="D12" s="58">
        <v>1231</v>
      </c>
      <c r="E12" s="59"/>
      <c r="F12" s="58">
        <v>1231</v>
      </c>
      <c r="G12" s="59"/>
      <c r="H12" s="58">
        <v>1231</v>
      </c>
      <c r="I12" s="59"/>
      <c r="J12" s="58">
        <v>1231</v>
      </c>
      <c r="K12" s="59"/>
      <c r="L12" s="58">
        <v>1231</v>
      </c>
      <c r="M12" s="59"/>
      <c r="N12" s="58">
        <v>1231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59"/>
      <c r="AB12" s="58"/>
      <c r="AC12" s="79"/>
    </row>
    <row r="13" spans="1:29" ht="22.5" customHeight="1">
      <c r="A13" s="89" t="s">
        <v>93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>
        <v>10000</v>
      </c>
      <c r="Q13" s="59"/>
      <c r="R13" s="58">
        <v>10000</v>
      </c>
      <c r="S13" s="59"/>
      <c r="T13" s="58"/>
      <c r="U13" s="59"/>
      <c r="V13" s="58"/>
      <c r="W13" s="59"/>
      <c r="X13" s="58">
        <v>10000</v>
      </c>
      <c r="Y13" s="59"/>
      <c r="Z13" s="58">
        <v>10000</v>
      </c>
      <c r="AA13" s="59"/>
      <c r="AB13" s="58"/>
      <c r="AC13" s="79"/>
    </row>
    <row r="14" spans="1:29" ht="22.5" customHeight="1" thickBot="1">
      <c r="A14" s="80" t="s">
        <v>94</v>
      </c>
      <c r="B14" s="81"/>
      <c r="C14" s="82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>
        <v>1562</v>
      </c>
      <c r="Q14" s="86"/>
      <c r="R14" s="85">
        <v>1562</v>
      </c>
      <c r="S14" s="86"/>
      <c r="T14" s="85"/>
      <c r="U14" s="86"/>
      <c r="V14" s="85"/>
      <c r="W14" s="86"/>
      <c r="X14" s="85">
        <v>1562</v>
      </c>
      <c r="Y14" s="86"/>
      <c r="Z14" s="85">
        <v>1562</v>
      </c>
      <c r="AA14" s="86"/>
      <c r="AB14" s="85"/>
      <c r="AC14" s="88"/>
    </row>
    <row r="15" spans="1:29" ht="22.5" customHeight="1" thickTop="1">
      <c r="A15" s="92" t="s">
        <v>42</v>
      </c>
      <c r="B15" s="34" t="s">
        <v>103</v>
      </c>
      <c r="C15" s="6" t="s">
        <v>43</v>
      </c>
      <c r="D15" s="83"/>
      <c r="E15" s="84"/>
      <c r="F15" s="83"/>
      <c r="G15" s="84"/>
      <c r="H15" s="83"/>
      <c r="I15" s="84"/>
      <c r="J15" s="83"/>
      <c r="K15" s="84"/>
      <c r="L15" s="83"/>
      <c r="M15" s="84"/>
      <c r="N15" s="83"/>
      <c r="O15" s="84"/>
      <c r="P15" s="83">
        <v>1050</v>
      </c>
      <c r="Q15" s="84"/>
      <c r="R15" s="83">
        <v>1200</v>
      </c>
      <c r="S15" s="84"/>
      <c r="T15" s="83">
        <v>950</v>
      </c>
      <c r="U15" s="84"/>
      <c r="V15" s="83">
        <v>1100</v>
      </c>
      <c r="W15" s="84"/>
      <c r="X15" s="83">
        <v>1050</v>
      </c>
      <c r="Y15" s="84"/>
      <c r="Z15" s="83">
        <v>750</v>
      </c>
      <c r="AA15" s="84"/>
      <c r="AB15" s="83"/>
      <c r="AC15" s="97"/>
    </row>
    <row r="16" spans="1:29" ht="22.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58"/>
      <c r="AC16" s="79"/>
    </row>
    <row r="17" spans="1:29" ht="22.5" customHeight="1">
      <c r="A17" s="92"/>
      <c r="B17" s="16"/>
      <c r="C17" s="7" t="s">
        <v>45</v>
      </c>
      <c r="D17" s="58">
        <v>9850</v>
      </c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58"/>
      <c r="AC17" s="79"/>
    </row>
    <row r="18" spans="1:29" ht="22.5" customHeight="1">
      <c r="A18" s="92"/>
      <c r="B18" s="94" t="s">
        <v>28</v>
      </c>
      <c r="C18" s="95"/>
      <c r="D18" s="58">
        <v>320</v>
      </c>
      <c r="E18" s="59"/>
      <c r="F18" s="58">
        <v>130</v>
      </c>
      <c r="G18" s="59"/>
      <c r="H18" s="58">
        <v>270</v>
      </c>
      <c r="I18" s="59"/>
      <c r="J18" s="58">
        <v>840</v>
      </c>
      <c r="K18" s="59"/>
      <c r="L18" s="58">
        <v>266</v>
      </c>
      <c r="M18" s="59"/>
      <c r="N18" s="58">
        <v>202</v>
      </c>
      <c r="O18" s="59"/>
      <c r="P18" s="58">
        <v>896</v>
      </c>
      <c r="Q18" s="59"/>
      <c r="R18" s="58">
        <v>661</v>
      </c>
      <c r="S18" s="59"/>
      <c r="T18" s="58">
        <v>0</v>
      </c>
      <c r="U18" s="59"/>
      <c r="V18" s="58">
        <v>885</v>
      </c>
      <c r="W18" s="59"/>
      <c r="X18" s="58">
        <v>245</v>
      </c>
      <c r="Y18" s="59"/>
      <c r="Z18" s="58">
        <v>704</v>
      </c>
      <c r="AA18" s="59"/>
      <c r="AB18" s="58"/>
      <c r="AC18" s="79"/>
    </row>
    <row r="19" spans="1:29" ht="22.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58"/>
      <c r="AC19" s="79"/>
    </row>
    <row r="20" spans="1:29" ht="22.5" customHeight="1">
      <c r="A20" s="110"/>
      <c r="B20" s="94" t="s">
        <v>30</v>
      </c>
      <c r="C20" s="95"/>
      <c r="D20" s="58">
        <v>15760</v>
      </c>
      <c r="E20" s="59"/>
      <c r="F20" s="58">
        <v>1000</v>
      </c>
      <c r="G20" s="59"/>
      <c r="H20" s="58"/>
      <c r="I20" s="59"/>
      <c r="J20" s="58"/>
      <c r="K20" s="59"/>
      <c r="L20" s="58"/>
      <c r="M20" s="59"/>
      <c r="N20" s="58"/>
      <c r="O20" s="59"/>
      <c r="P20" s="58"/>
      <c r="Q20" s="59"/>
      <c r="R20" s="58"/>
      <c r="S20" s="59"/>
      <c r="T20" s="58"/>
      <c r="U20" s="59"/>
      <c r="V20" s="58">
        <v>3000</v>
      </c>
      <c r="W20" s="59"/>
      <c r="X20" s="58"/>
      <c r="Y20" s="59"/>
      <c r="Z20" s="58"/>
      <c r="AA20" s="59"/>
      <c r="AB20" s="58"/>
      <c r="AC20" s="79"/>
    </row>
    <row r="21" spans="1:29" ht="22.5" customHeight="1">
      <c r="A21" s="65" t="s">
        <v>31</v>
      </c>
      <c r="B21" s="66"/>
      <c r="C21" s="67"/>
      <c r="D21" s="58">
        <f>INT(D7*D11+D9*D12+D17+D18+D20)</f>
        <v>165429</v>
      </c>
      <c r="E21" s="59"/>
      <c r="F21" s="58">
        <f>INT(F7*F11+F8*F13+F9+F10*F14+F15+F16+F17+F18+F19+F20)</f>
        <v>119330</v>
      </c>
      <c r="G21" s="59"/>
      <c r="H21" s="58">
        <f>INT(H7*H11+H8*H13+H9+H10*H14+H15+H16+H17+H18+H19+H20)</f>
        <v>102710</v>
      </c>
      <c r="I21" s="59"/>
      <c r="J21" s="58">
        <f>INT(J7*J11+J8*J13+J9*J12+J10*J14+J15+J16+J17+J18+J19+J20)</f>
        <v>154253</v>
      </c>
      <c r="K21" s="59"/>
      <c r="L21" s="58">
        <f>INT(L7*L11+L8*L13+L9*L12+L10*L14+L15+L16+L17+L18+L19+L20)</f>
        <v>55426</v>
      </c>
      <c r="M21" s="59"/>
      <c r="N21" s="58">
        <f>INT(N7*N11+N8*N13+N9*N12+N10*N14+N15+N16+N17+N18+N19+N20)</f>
        <v>110522</v>
      </c>
      <c r="O21" s="59"/>
      <c r="P21" s="58">
        <f>INT(P7*P11+P8*P13+P9*P12+P10*P14+P15+P16+P17+P18+P19+P20)</f>
        <v>169946</v>
      </c>
      <c r="Q21" s="59"/>
      <c r="R21" s="58">
        <f>INT(R7*R11+R8*R13+R9*R12+R10*R14+R15+R16+R17+R18+R19+R20)</f>
        <v>200547</v>
      </c>
      <c r="S21" s="59"/>
      <c r="T21" s="58">
        <f>INT(T7*T11+T8*T13+T9*T12+T10*T14+T15+T16+T17+T18+T19+T20)</f>
        <v>152950</v>
      </c>
      <c r="U21" s="59"/>
      <c r="V21" s="58">
        <f>INT(V7*V11+V8*V13+V9*V12+V10*V14+V15+V16+V17+V18+V19+V20)</f>
        <v>180985</v>
      </c>
      <c r="W21" s="59"/>
      <c r="X21" s="58">
        <f>INT(X7*X11+X8*X13+X9*X12+X10*X14+X15+X16+X17+X18+X19+X20)</f>
        <v>179200</v>
      </c>
      <c r="Y21" s="59"/>
      <c r="Z21" s="58">
        <f>INT(Z7*Z11+Z8*Z13+Z9*Z12+Z10*Z14+Z15+Z16+Z17+Z18+Z19+Z20)</f>
        <v>121454</v>
      </c>
      <c r="AA21" s="59"/>
      <c r="AB21" s="58">
        <f>D21+F21+H21+J21+L21+N21</f>
        <v>707670</v>
      </c>
      <c r="AC21" s="79"/>
    </row>
    <row r="22" spans="1:29" ht="22.5" customHeight="1">
      <c r="A22" s="65" t="s">
        <v>32</v>
      </c>
      <c r="B22" s="66"/>
      <c r="C22" s="67"/>
      <c r="D22" s="58"/>
      <c r="E22" s="59"/>
      <c r="F22" s="58"/>
      <c r="G22" s="59"/>
      <c r="H22" s="58"/>
      <c r="I22" s="59"/>
      <c r="J22" s="58"/>
      <c r="K22" s="59"/>
      <c r="L22" s="58"/>
      <c r="M22" s="59"/>
      <c r="N22" s="58"/>
      <c r="O22" s="59"/>
      <c r="P22" s="58"/>
      <c r="Q22" s="59"/>
      <c r="R22" s="58"/>
      <c r="S22" s="59"/>
      <c r="T22" s="58"/>
      <c r="U22" s="59"/>
      <c r="V22" s="58"/>
      <c r="W22" s="59"/>
      <c r="X22" s="58"/>
      <c r="Y22" s="59"/>
      <c r="Z22" s="58"/>
      <c r="AA22" s="59"/>
      <c r="AB22" s="58"/>
      <c r="AC22" s="79"/>
    </row>
    <row r="23" spans="1:29" ht="22.5" customHeight="1" thickBot="1">
      <c r="A23" s="98" t="s">
        <v>39</v>
      </c>
      <c r="B23" s="99"/>
      <c r="C23" s="100"/>
      <c r="D23" s="143"/>
      <c r="E23" s="144"/>
      <c r="F23" s="143"/>
      <c r="G23" s="144"/>
      <c r="H23" s="143"/>
      <c r="I23" s="144"/>
      <c r="J23" s="143"/>
      <c r="K23" s="144"/>
      <c r="L23" s="143">
        <v>10000</v>
      </c>
      <c r="M23" s="144"/>
      <c r="N23" s="143"/>
      <c r="O23" s="144"/>
      <c r="P23" s="143"/>
      <c r="Q23" s="144"/>
      <c r="R23" s="143"/>
      <c r="S23" s="144"/>
      <c r="T23" s="143">
        <v>10000</v>
      </c>
      <c r="U23" s="144"/>
      <c r="V23" s="143"/>
      <c r="W23" s="144"/>
      <c r="X23" s="143"/>
      <c r="Y23" s="144"/>
      <c r="Z23" s="143"/>
      <c r="AA23" s="144"/>
      <c r="AB23" s="143"/>
      <c r="AC23" s="104"/>
    </row>
    <row r="24" spans="1:29" ht="22.5" customHeight="1" thickBot="1">
      <c r="A24" s="117" t="s">
        <v>20</v>
      </c>
      <c r="B24" s="118"/>
      <c r="C24" s="119"/>
      <c r="D24" s="105">
        <f>D21+D22+D23</f>
        <v>165429</v>
      </c>
      <c r="E24" s="106"/>
      <c r="F24" s="105">
        <f>F21+F22+F23</f>
        <v>119330</v>
      </c>
      <c r="G24" s="106"/>
      <c r="H24" s="105">
        <f>H21+H22+H23</f>
        <v>102710</v>
      </c>
      <c r="I24" s="106"/>
      <c r="J24" s="105">
        <f>J21+J22+J23</f>
        <v>154253</v>
      </c>
      <c r="K24" s="106"/>
      <c r="L24" s="105">
        <f>L21+L22+L23</f>
        <v>65426</v>
      </c>
      <c r="M24" s="106"/>
      <c r="N24" s="105">
        <f>N21+N22+N23</f>
        <v>110522</v>
      </c>
      <c r="O24" s="106"/>
      <c r="P24" s="105">
        <f>P21+P22+P23</f>
        <v>169946</v>
      </c>
      <c r="Q24" s="106"/>
      <c r="R24" s="105">
        <f>R21+R22+R23</f>
        <v>200547</v>
      </c>
      <c r="S24" s="106"/>
      <c r="T24" s="105">
        <f>T21+T22+T23</f>
        <v>162950</v>
      </c>
      <c r="U24" s="106"/>
      <c r="V24" s="105">
        <f>V21+V22+V23</f>
        <v>180985</v>
      </c>
      <c r="W24" s="106"/>
      <c r="X24" s="105">
        <f>X21+X22+X23</f>
        <v>179200</v>
      </c>
      <c r="Y24" s="106"/>
      <c r="Z24" s="105">
        <f>Z21+Z22+Z23</f>
        <v>121454</v>
      </c>
      <c r="AA24" s="106"/>
      <c r="AB24" s="105">
        <f>D24+F24+H24+J24+L24+N24</f>
        <v>717670</v>
      </c>
      <c r="AC24" s="108"/>
    </row>
    <row r="25" spans="1:29" ht="22.5" customHeight="1">
      <c r="A25" s="109" t="s">
        <v>33</v>
      </c>
      <c r="B25" s="113" t="s">
        <v>34</v>
      </c>
      <c r="C25" s="114"/>
      <c r="D25" s="115">
        <f>D24*0.003</f>
        <v>496.28700000000003</v>
      </c>
      <c r="E25" s="116"/>
      <c r="F25" s="115">
        <f>F24*0.003</f>
        <v>357.99</v>
      </c>
      <c r="G25" s="116"/>
      <c r="H25" s="115">
        <f>H24*0.003</f>
        <v>308.13</v>
      </c>
      <c r="I25" s="116"/>
      <c r="J25" s="115">
        <f>J24*0.003</f>
        <v>462.75900000000001</v>
      </c>
      <c r="K25" s="116"/>
      <c r="L25" s="115">
        <v>196</v>
      </c>
      <c r="M25" s="116"/>
      <c r="N25" s="115">
        <v>332</v>
      </c>
      <c r="O25" s="116"/>
      <c r="P25" s="115">
        <v>510</v>
      </c>
      <c r="Q25" s="116"/>
      <c r="R25" s="115">
        <v>602</v>
      </c>
      <c r="S25" s="116"/>
      <c r="T25" s="115">
        <v>489</v>
      </c>
      <c r="U25" s="116"/>
      <c r="V25" s="115">
        <v>543</v>
      </c>
      <c r="W25" s="116"/>
      <c r="X25" s="115">
        <v>538</v>
      </c>
      <c r="Y25" s="116"/>
      <c r="Z25" s="115">
        <v>364</v>
      </c>
      <c r="AA25" s="116"/>
      <c r="AB25" s="115"/>
      <c r="AC25" s="121"/>
    </row>
    <row r="26" spans="1:29" ht="22.5" customHeight="1">
      <c r="A26" s="110"/>
      <c r="B26" s="94" t="s">
        <v>35</v>
      </c>
      <c r="C26" s="95"/>
      <c r="D26" s="58">
        <v>3480</v>
      </c>
      <c r="E26" s="59"/>
      <c r="F26" s="58">
        <v>1950</v>
      </c>
      <c r="G26" s="59"/>
      <c r="H26" s="58">
        <v>1850</v>
      </c>
      <c r="I26" s="59"/>
      <c r="J26" s="58">
        <v>3200</v>
      </c>
      <c r="K26" s="59"/>
      <c r="L26" s="58">
        <v>0</v>
      </c>
      <c r="M26" s="59"/>
      <c r="N26" s="58">
        <v>1850</v>
      </c>
      <c r="O26" s="59"/>
      <c r="P26" s="58">
        <v>3910</v>
      </c>
      <c r="Q26" s="59"/>
      <c r="R26" s="58">
        <v>1850</v>
      </c>
      <c r="S26" s="59"/>
      <c r="T26" s="58">
        <v>3550</v>
      </c>
      <c r="U26" s="59"/>
      <c r="V26" s="58">
        <v>4200</v>
      </c>
      <c r="W26" s="59"/>
      <c r="X26" s="58">
        <v>4120</v>
      </c>
      <c r="Y26" s="59"/>
      <c r="Z26" s="58">
        <v>2050</v>
      </c>
      <c r="AA26" s="59"/>
      <c r="AB26" s="58"/>
      <c r="AC26" s="79"/>
    </row>
    <row r="27" spans="1:29" ht="22.5" customHeight="1">
      <c r="A27" s="110"/>
      <c r="B27" s="94" t="s">
        <v>47</v>
      </c>
      <c r="C27" s="95"/>
      <c r="D27" s="58"/>
      <c r="E27" s="59"/>
      <c r="F27" s="58"/>
      <c r="G27" s="59"/>
      <c r="H27" s="58"/>
      <c r="I27" s="59"/>
      <c r="J27" s="58"/>
      <c r="K27" s="59"/>
      <c r="L27" s="58"/>
      <c r="M27" s="59"/>
      <c r="N27" s="58"/>
      <c r="O27" s="59"/>
      <c r="P27" s="58"/>
      <c r="Q27" s="59"/>
      <c r="R27" s="58"/>
      <c r="S27" s="59"/>
      <c r="T27" s="58"/>
      <c r="U27" s="59"/>
      <c r="V27" s="58"/>
      <c r="W27" s="59"/>
      <c r="X27" s="58"/>
      <c r="Y27" s="59"/>
      <c r="Z27" s="58"/>
      <c r="AA27" s="59"/>
      <c r="AB27" s="58"/>
      <c r="AC27" s="79"/>
    </row>
    <row r="28" spans="1:29" ht="22.5" customHeight="1">
      <c r="A28" s="111"/>
      <c r="B28" s="94" t="s">
        <v>48</v>
      </c>
      <c r="C28" s="95"/>
      <c r="D28" s="83"/>
      <c r="E28" s="84"/>
      <c r="F28" s="83"/>
      <c r="G28" s="84"/>
      <c r="H28" s="83"/>
      <c r="I28" s="84"/>
      <c r="J28" s="83"/>
      <c r="K28" s="84"/>
      <c r="L28" s="83"/>
      <c r="M28" s="84"/>
      <c r="N28" s="83"/>
      <c r="O28" s="84"/>
      <c r="P28" s="83"/>
      <c r="Q28" s="84"/>
      <c r="R28" s="83"/>
      <c r="S28" s="84"/>
      <c r="T28" s="83"/>
      <c r="U28" s="84"/>
      <c r="V28" s="83"/>
      <c r="W28" s="84"/>
      <c r="X28" s="83"/>
      <c r="Y28" s="84"/>
      <c r="Z28" s="83"/>
      <c r="AA28" s="84"/>
      <c r="AB28" s="83"/>
      <c r="AC28" s="97"/>
    </row>
    <row r="29" spans="1:29" ht="22.5" customHeight="1" thickBot="1">
      <c r="A29" s="112"/>
      <c r="B29" s="124" t="s">
        <v>51</v>
      </c>
      <c r="C29" s="125"/>
      <c r="D29" s="101">
        <v>750</v>
      </c>
      <c r="E29" s="102"/>
      <c r="F29" s="101">
        <v>3250</v>
      </c>
      <c r="G29" s="102"/>
      <c r="H29" s="101">
        <v>3500</v>
      </c>
      <c r="I29" s="102"/>
      <c r="J29" s="101">
        <v>2250</v>
      </c>
      <c r="K29" s="102"/>
      <c r="L29" s="101">
        <v>10500</v>
      </c>
      <c r="M29" s="102"/>
      <c r="N29" s="101">
        <v>2000</v>
      </c>
      <c r="O29" s="102"/>
      <c r="P29" s="101">
        <v>3000</v>
      </c>
      <c r="Q29" s="102"/>
      <c r="R29" s="101">
        <v>3000</v>
      </c>
      <c r="S29" s="102"/>
      <c r="T29" s="101">
        <v>15800</v>
      </c>
      <c r="U29" s="102"/>
      <c r="V29" s="101">
        <v>1000</v>
      </c>
      <c r="W29" s="102"/>
      <c r="X29" s="101">
        <v>3500</v>
      </c>
      <c r="Y29" s="102"/>
      <c r="Z29" s="101">
        <v>2750</v>
      </c>
      <c r="AA29" s="102"/>
      <c r="AB29" s="101"/>
      <c r="AC29" s="123"/>
    </row>
    <row r="30" spans="1:29" ht="22.5" customHeight="1" thickBot="1">
      <c r="A30" s="71" t="s">
        <v>36</v>
      </c>
      <c r="B30" s="72"/>
      <c r="C30" s="73"/>
      <c r="D30" s="83">
        <f>SUM(D25:D29)</f>
        <v>4726.2870000000003</v>
      </c>
      <c r="E30" s="84"/>
      <c r="F30" s="83">
        <f t="shared" ref="F30" si="0">SUM(F25:F29)</f>
        <v>5557.99</v>
      </c>
      <c r="G30" s="84"/>
      <c r="H30" s="83">
        <f t="shared" ref="H30" si="1">SUM(H25:H29)</f>
        <v>5658.13</v>
      </c>
      <c r="I30" s="84"/>
      <c r="J30" s="83">
        <f t="shared" ref="J30" si="2">SUM(J25:J29)</f>
        <v>5912.759</v>
      </c>
      <c r="K30" s="84"/>
      <c r="L30" s="83">
        <f t="shared" ref="L30" si="3">SUM(L25:L29)</f>
        <v>10696</v>
      </c>
      <c r="M30" s="84"/>
      <c r="N30" s="83">
        <f t="shared" ref="N30" si="4">SUM(N25:N29)</f>
        <v>4182</v>
      </c>
      <c r="O30" s="84"/>
      <c r="P30" s="83">
        <f t="shared" ref="P30" si="5">SUM(P25:P29)</f>
        <v>7420</v>
      </c>
      <c r="Q30" s="84"/>
      <c r="R30" s="83">
        <f t="shared" ref="R30" si="6">SUM(R25:R29)</f>
        <v>5452</v>
      </c>
      <c r="S30" s="84"/>
      <c r="T30" s="83">
        <f>SUM(T25:T29)</f>
        <v>19839</v>
      </c>
      <c r="U30" s="84"/>
      <c r="V30" s="83">
        <f t="shared" ref="V30" si="7">SUM(V25:V29)</f>
        <v>5743</v>
      </c>
      <c r="W30" s="84"/>
      <c r="X30" s="83">
        <f t="shared" ref="X30" si="8">SUM(X25:X29)</f>
        <v>8158</v>
      </c>
      <c r="Y30" s="84"/>
      <c r="Z30" s="83">
        <f t="shared" ref="Z30" si="9">SUM(Z25:Z29)</f>
        <v>5164</v>
      </c>
      <c r="AA30" s="84"/>
      <c r="AB30" s="83">
        <f t="shared" ref="AB30" si="10">SUM(AB25:AB29)</f>
        <v>0</v>
      </c>
      <c r="AC30" s="97"/>
    </row>
    <row r="31" spans="1:29" ht="22.5" customHeight="1" thickTop="1" thickBot="1">
      <c r="A31" s="132" t="s">
        <v>37</v>
      </c>
      <c r="B31" s="133"/>
      <c r="C31" s="134"/>
      <c r="D31" s="126">
        <f>D24-D30</f>
        <v>160702.71299999999</v>
      </c>
      <c r="E31" s="127"/>
      <c r="F31" s="126">
        <f>F24-F30</f>
        <v>113772.01</v>
      </c>
      <c r="G31" s="127"/>
      <c r="H31" s="126">
        <f>H24-H30</f>
        <v>97051.87</v>
      </c>
      <c r="I31" s="127"/>
      <c r="J31" s="126">
        <f>J24-J30</f>
        <v>148340.24100000001</v>
      </c>
      <c r="K31" s="127"/>
      <c r="L31" s="126">
        <f>L24-L30</f>
        <v>54730</v>
      </c>
      <c r="M31" s="127"/>
      <c r="N31" s="126">
        <f>N24-N30</f>
        <v>106340</v>
      </c>
      <c r="O31" s="127"/>
      <c r="P31" s="126">
        <f>P24-P30</f>
        <v>162526</v>
      </c>
      <c r="Q31" s="127"/>
      <c r="R31" s="126">
        <f>R24-R30</f>
        <v>195095</v>
      </c>
      <c r="S31" s="127"/>
      <c r="T31" s="126">
        <f>T24-T30</f>
        <v>143111</v>
      </c>
      <c r="U31" s="127"/>
      <c r="V31" s="126">
        <f>V24-V30</f>
        <v>175242</v>
      </c>
      <c r="W31" s="127"/>
      <c r="X31" s="126">
        <f>X21-X30</f>
        <v>171042</v>
      </c>
      <c r="Y31" s="127"/>
      <c r="Z31" s="126">
        <f>Z24-Z30</f>
        <v>116290</v>
      </c>
      <c r="AA31" s="127"/>
      <c r="AB31" s="126">
        <f>D31+F31+H31+J31+L31+N31</f>
        <v>680936.83400000003</v>
      </c>
      <c r="AC31" s="130"/>
    </row>
  </sheetData>
  <mergeCells count="322">
    <mergeCell ref="A9:C9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F22:G22"/>
    <mergeCell ref="H22:I22"/>
    <mergeCell ref="J22:K22"/>
    <mergeCell ref="L22:M22"/>
    <mergeCell ref="R21:S21"/>
    <mergeCell ref="T21:U21"/>
    <mergeCell ref="V21:W21"/>
    <mergeCell ref="X21:Y21"/>
    <mergeCell ref="Z21:AA21"/>
    <mergeCell ref="R23:S23"/>
    <mergeCell ref="T23:U23"/>
    <mergeCell ref="V23:W23"/>
    <mergeCell ref="X23:Y23"/>
    <mergeCell ref="Z23:AA23"/>
    <mergeCell ref="AB23:AC23"/>
    <mergeCell ref="Z22:AA22"/>
    <mergeCell ref="AB22:AC22"/>
    <mergeCell ref="A23:C23"/>
    <mergeCell ref="D23:E23"/>
    <mergeCell ref="F23:G23"/>
    <mergeCell ref="H23:I23"/>
    <mergeCell ref="J23:K23"/>
    <mergeCell ref="L23:M23"/>
    <mergeCell ref="N23:O23"/>
    <mergeCell ref="P23:Q23"/>
    <mergeCell ref="N22:O22"/>
    <mergeCell ref="P22:Q22"/>
    <mergeCell ref="R22:S22"/>
    <mergeCell ref="T22:U22"/>
    <mergeCell ref="V22:W22"/>
    <mergeCell ref="X22:Y22"/>
    <mergeCell ref="A22:C22"/>
    <mergeCell ref="D22:E22"/>
    <mergeCell ref="Z24:AA24"/>
    <mergeCell ref="AB24:AC24"/>
    <mergeCell ref="A25:A29"/>
    <mergeCell ref="B25:C25"/>
    <mergeCell ref="D25:E25"/>
    <mergeCell ref="F25:G25"/>
    <mergeCell ref="H25:I25"/>
    <mergeCell ref="J25:K25"/>
    <mergeCell ref="L25:M25"/>
    <mergeCell ref="N25:O25"/>
    <mergeCell ref="N24:O24"/>
    <mergeCell ref="P24:Q24"/>
    <mergeCell ref="R24:S24"/>
    <mergeCell ref="T24:U24"/>
    <mergeCell ref="V24:W24"/>
    <mergeCell ref="X24:Y24"/>
    <mergeCell ref="A24:C24"/>
    <mergeCell ref="D24:E24"/>
    <mergeCell ref="F24:G24"/>
    <mergeCell ref="H24:I24"/>
    <mergeCell ref="J24:K24"/>
    <mergeCell ref="L24:M24"/>
    <mergeCell ref="AB25:AC25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P25:Q25"/>
    <mergeCell ref="R25:S25"/>
    <mergeCell ref="T25:U25"/>
    <mergeCell ref="V25:W25"/>
    <mergeCell ref="X25:Y25"/>
    <mergeCell ref="Z25:AA25"/>
    <mergeCell ref="T26:U26"/>
    <mergeCell ref="V26:W26"/>
    <mergeCell ref="X26:Y26"/>
    <mergeCell ref="Z26:AA26"/>
    <mergeCell ref="AB26:AC26"/>
    <mergeCell ref="B27:C27"/>
    <mergeCell ref="D27:E27"/>
    <mergeCell ref="F27:G27"/>
    <mergeCell ref="H27:I27"/>
    <mergeCell ref="J27:K27"/>
    <mergeCell ref="X27:Y27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L27:M27"/>
    <mergeCell ref="N27:O27"/>
    <mergeCell ref="P27:Q27"/>
    <mergeCell ref="R27:S27"/>
    <mergeCell ref="T27:U27"/>
    <mergeCell ref="V27:W27"/>
    <mergeCell ref="AB28:AC28"/>
    <mergeCell ref="P28:Q28"/>
    <mergeCell ref="R28:S28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T28:U28"/>
    <mergeCell ref="V28:W28"/>
    <mergeCell ref="X28:Y28"/>
    <mergeCell ref="Z28:AA28"/>
    <mergeCell ref="T29:U29"/>
    <mergeCell ref="V29:W29"/>
    <mergeCell ref="X29:Y29"/>
    <mergeCell ref="Z29:AA29"/>
    <mergeCell ref="AB29:AC29"/>
    <mergeCell ref="A30:C30"/>
    <mergeCell ref="D30:E30"/>
    <mergeCell ref="F30:G30"/>
    <mergeCell ref="H30:I30"/>
    <mergeCell ref="J30:K30"/>
    <mergeCell ref="A31:C31"/>
    <mergeCell ref="D31:E31"/>
    <mergeCell ref="F31:G31"/>
    <mergeCell ref="H31:I31"/>
    <mergeCell ref="J31:K31"/>
    <mergeCell ref="L31:M31"/>
    <mergeCell ref="N31:O31"/>
    <mergeCell ref="L30:M30"/>
    <mergeCell ref="N30:O30"/>
    <mergeCell ref="AB31:AC31"/>
    <mergeCell ref="P31:Q31"/>
    <mergeCell ref="R31:S31"/>
    <mergeCell ref="T31:U31"/>
    <mergeCell ref="V31:W31"/>
    <mergeCell ref="X31:Y31"/>
    <mergeCell ref="Z31:AA31"/>
    <mergeCell ref="X30:Y30"/>
    <mergeCell ref="Z30:AA30"/>
    <mergeCell ref="AB30:AC30"/>
    <mergeCell ref="P30:Q30"/>
    <mergeCell ref="R30:S30"/>
    <mergeCell ref="T30:U30"/>
    <mergeCell ref="V30:W30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7E9C-02B5-4225-95A5-2ABB8A625DCF}">
  <sheetPr codeName="Sheet1">
    <tabColor theme="5"/>
  </sheetPr>
  <dimension ref="A1:AB31"/>
  <sheetViews>
    <sheetView topLeftCell="A10" workbookViewId="0">
      <selection activeCell="W32" sqref="W32"/>
    </sheetView>
  </sheetViews>
  <sheetFormatPr defaultColWidth="5.625" defaultRowHeight="15"/>
  <cols>
    <col min="1" max="1" width="4" style="1" customWidth="1"/>
    <col min="2" max="2" width="12.875" style="1" customWidth="1"/>
    <col min="3" max="16384" width="5.625" style="1"/>
  </cols>
  <sheetData>
    <row r="1" spans="1:28">
      <c r="A1" s="37" t="s">
        <v>38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ht="15.75" thickTop="1">
      <c r="A3" s="40" t="s">
        <v>0</v>
      </c>
      <c r="B3" s="41"/>
      <c r="C3" s="42"/>
      <c r="D3" s="43" t="s">
        <v>1</v>
      </c>
      <c r="E3" s="41"/>
      <c r="F3" s="41"/>
      <c r="G3" s="41"/>
      <c r="H3" s="41"/>
      <c r="I3" s="41"/>
      <c r="J3" s="42"/>
      <c r="K3" s="43" t="s">
        <v>2</v>
      </c>
      <c r="L3" s="41"/>
      <c r="M3" s="41"/>
      <c r="N3" s="41"/>
      <c r="O3" s="41"/>
      <c r="P3" s="41"/>
      <c r="Q3" s="42"/>
      <c r="R3" s="43" t="s">
        <v>3</v>
      </c>
      <c r="S3" s="41"/>
      <c r="T3" s="41"/>
      <c r="U3" s="41"/>
      <c r="V3" s="41"/>
      <c r="W3" s="41"/>
      <c r="X3" s="42"/>
      <c r="Y3" s="41" t="s">
        <v>4</v>
      </c>
      <c r="Z3" s="41"/>
      <c r="AA3" s="41"/>
      <c r="AB3" s="44"/>
    </row>
    <row r="4" spans="1:28" ht="35.25" customHeight="1" thickBot="1">
      <c r="A4" s="45"/>
      <c r="B4" s="47"/>
      <c r="C4" s="48"/>
      <c r="D4" s="49" t="s">
        <v>46</v>
      </c>
      <c r="E4" s="50"/>
      <c r="F4" s="50"/>
      <c r="G4" s="50"/>
      <c r="H4" s="50"/>
      <c r="I4" s="50"/>
      <c r="J4" s="51"/>
      <c r="K4" s="52"/>
      <c r="L4" s="47"/>
      <c r="M4" s="47"/>
      <c r="N4" s="47"/>
      <c r="O4" s="47"/>
      <c r="P4" s="47"/>
      <c r="Q4" s="48"/>
      <c r="R4" s="53" t="s">
        <v>75</v>
      </c>
      <c r="S4" s="54"/>
      <c r="T4" s="54"/>
      <c r="U4" s="54"/>
      <c r="V4" s="54"/>
      <c r="W4" s="54"/>
      <c r="X4" s="55"/>
      <c r="Y4" s="56" t="s">
        <v>6</v>
      </c>
      <c r="Z4" s="56"/>
      <c r="AA4" s="56"/>
      <c r="AB4" s="57"/>
    </row>
    <row r="5" spans="1:28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4.75" customHeight="1">
      <c r="A6" s="68" t="s">
        <v>7</v>
      </c>
      <c r="B6" s="70"/>
      <c r="C6" s="60" t="s">
        <v>12</v>
      </c>
      <c r="D6" s="61"/>
      <c r="E6" s="60" t="s">
        <v>13</v>
      </c>
      <c r="F6" s="61"/>
      <c r="G6" s="60" t="s">
        <v>14</v>
      </c>
      <c r="H6" s="61"/>
      <c r="I6" s="60" t="s">
        <v>15</v>
      </c>
      <c r="J6" s="61"/>
      <c r="K6" s="60" t="s">
        <v>16</v>
      </c>
      <c r="L6" s="61"/>
      <c r="M6" s="60" t="s">
        <v>17</v>
      </c>
      <c r="N6" s="61"/>
      <c r="O6" s="60" t="s">
        <v>18</v>
      </c>
      <c r="P6" s="61"/>
      <c r="Q6" s="60" t="s">
        <v>19</v>
      </c>
      <c r="R6" s="61"/>
      <c r="S6" s="60" t="s">
        <v>8</v>
      </c>
      <c r="T6" s="61"/>
      <c r="U6" s="60" t="s">
        <v>9</v>
      </c>
      <c r="V6" s="61"/>
      <c r="W6" s="60" t="s">
        <v>10</v>
      </c>
      <c r="X6" s="61"/>
      <c r="Y6" s="60" t="s">
        <v>11</v>
      </c>
      <c r="Z6" s="61"/>
      <c r="AA6" s="60" t="s">
        <v>20</v>
      </c>
      <c r="AB6" s="64"/>
    </row>
    <row r="7" spans="1:28" ht="24.75" customHeight="1">
      <c r="A7" s="65" t="s">
        <v>87</v>
      </c>
      <c r="B7" s="67"/>
      <c r="C7" s="3">
        <v>10</v>
      </c>
      <c r="D7" s="4" t="s">
        <v>21</v>
      </c>
      <c r="E7" s="3">
        <v>2</v>
      </c>
      <c r="F7" s="4" t="s">
        <v>21</v>
      </c>
      <c r="G7" s="3">
        <v>9</v>
      </c>
      <c r="H7" s="4" t="s">
        <v>21</v>
      </c>
      <c r="I7" s="3">
        <v>2</v>
      </c>
      <c r="J7" s="4" t="s">
        <v>21</v>
      </c>
      <c r="K7" s="3">
        <v>3</v>
      </c>
      <c r="L7" s="4" t="s">
        <v>21</v>
      </c>
      <c r="M7" s="3">
        <v>6</v>
      </c>
      <c r="N7" s="4" t="s">
        <v>21</v>
      </c>
      <c r="O7" s="3">
        <v>2</v>
      </c>
      <c r="P7" s="4" t="s">
        <v>21</v>
      </c>
      <c r="Q7" s="3">
        <v>5</v>
      </c>
      <c r="R7" s="4" t="s">
        <v>21</v>
      </c>
      <c r="S7" s="3">
        <v>0</v>
      </c>
      <c r="T7" s="4" t="s">
        <v>21</v>
      </c>
      <c r="U7" s="3">
        <v>7</v>
      </c>
      <c r="V7" s="4" t="s">
        <v>21</v>
      </c>
      <c r="W7" s="3"/>
      <c r="X7" s="4" t="s">
        <v>21</v>
      </c>
      <c r="Y7" s="3"/>
      <c r="Z7" s="4" t="s">
        <v>21</v>
      </c>
      <c r="AA7" s="5"/>
      <c r="AB7" s="9" t="s">
        <v>21</v>
      </c>
    </row>
    <row r="8" spans="1:28" ht="24.75" customHeight="1">
      <c r="A8" s="65" t="s">
        <v>105</v>
      </c>
      <c r="B8" s="67"/>
      <c r="C8" s="3"/>
      <c r="D8" s="4" t="s">
        <v>21</v>
      </c>
      <c r="E8" s="3"/>
      <c r="F8" s="4" t="s">
        <v>21</v>
      </c>
      <c r="G8" s="3"/>
      <c r="H8" s="4" t="s">
        <v>21</v>
      </c>
      <c r="I8" s="3"/>
      <c r="J8" s="4" t="s">
        <v>21</v>
      </c>
      <c r="K8" s="3"/>
      <c r="L8" s="4" t="s">
        <v>21</v>
      </c>
      <c r="M8" s="3"/>
      <c r="N8" s="4" t="s">
        <v>21</v>
      </c>
      <c r="O8" s="3"/>
      <c r="P8" s="4" t="s">
        <v>21</v>
      </c>
      <c r="Q8" s="3"/>
      <c r="R8" s="4" t="s">
        <v>21</v>
      </c>
      <c r="S8" s="3"/>
      <c r="T8" s="4" t="s">
        <v>21</v>
      </c>
      <c r="U8" s="3"/>
      <c r="V8" s="4" t="s">
        <v>21</v>
      </c>
      <c r="W8" s="3"/>
      <c r="X8" s="4" t="s">
        <v>21</v>
      </c>
      <c r="Y8" s="3"/>
      <c r="Z8" s="4" t="s">
        <v>21</v>
      </c>
      <c r="AA8" s="5"/>
      <c r="AB8" s="9" t="s">
        <v>22</v>
      </c>
    </row>
    <row r="9" spans="1:28" ht="24.75" customHeight="1">
      <c r="A9" s="65" t="s">
        <v>88</v>
      </c>
      <c r="B9" s="67"/>
      <c r="C9" s="3"/>
      <c r="D9" s="4" t="s">
        <v>22</v>
      </c>
      <c r="E9" s="3"/>
      <c r="F9" s="4" t="s">
        <v>22</v>
      </c>
      <c r="G9" s="3"/>
      <c r="H9" s="4" t="s">
        <v>22</v>
      </c>
      <c r="I9" s="3"/>
      <c r="J9" s="4" t="s">
        <v>22</v>
      </c>
      <c r="K9" s="3"/>
      <c r="L9" s="4" t="s">
        <v>22</v>
      </c>
      <c r="M9" s="3"/>
      <c r="N9" s="4" t="s">
        <v>22</v>
      </c>
      <c r="O9" s="3"/>
      <c r="P9" s="4" t="s">
        <v>22</v>
      </c>
      <c r="Q9" s="3"/>
      <c r="R9" s="4" t="s">
        <v>22</v>
      </c>
      <c r="S9" s="3"/>
      <c r="T9" s="4" t="s">
        <v>22</v>
      </c>
      <c r="U9" s="3"/>
      <c r="V9" s="4" t="s">
        <v>22</v>
      </c>
      <c r="W9" s="3"/>
      <c r="X9" s="4" t="s">
        <v>22</v>
      </c>
      <c r="Y9" s="3"/>
      <c r="Z9" s="4" t="s">
        <v>22</v>
      </c>
      <c r="AA9" s="5"/>
      <c r="AB9" s="9" t="s">
        <v>22</v>
      </c>
    </row>
    <row r="10" spans="1:28" ht="24.75" customHeight="1" thickBot="1">
      <c r="A10" s="65" t="s">
        <v>106</v>
      </c>
      <c r="B10" s="67"/>
      <c r="C10" s="3"/>
      <c r="D10" s="4" t="s">
        <v>22</v>
      </c>
      <c r="E10" s="3"/>
      <c r="F10" s="4" t="s">
        <v>22</v>
      </c>
      <c r="G10" s="3">
        <v>1</v>
      </c>
      <c r="H10" s="4" t="s">
        <v>22</v>
      </c>
      <c r="I10" s="3"/>
      <c r="J10" s="4" t="s">
        <v>22</v>
      </c>
      <c r="K10" s="3"/>
      <c r="L10" s="4" t="s">
        <v>22</v>
      </c>
      <c r="M10" s="3"/>
      <c r="N10" s="4" t="s">
        <v>22</v>
      </c>
      <c r="O10" s="3"/>
      <c r="P10" s="4" t="s">
        <v>22</v>
      </c>
      <c r="Q10" s="3"/>
      <c r="R10" s="4" t="s">
        <v>22</v>
      </c>
      <c r="S10" s="3"/>
      <c r="T10" s="4" t="s">
        <v>22</v>
      </c>
      <c r="U10" s="3"/>
      <c r="V10" s="4" t="s">
        <v>22</v>
      </c>
      <c r="W10" s="3"/>
      <c r="X10" s="4" t="s">
        <v>22</v>
      </c>
      <c r="Y10" s="3"/>
      <c r="Z10" s="4" t="s">
        <v>22</v>
      </c>
      <c r="AA10" s="5"/>
      <c r="AB10" s="9" t="s">
        <v>22</v>
      </c>
    </row>
    <row r="11" spans="1:28" ht="24.75" customHeight="1" thickTop="1">
      <c r="A11" s="71" t="s">
        <v>87</v>
      </c>
      <c r="B11" s="73"/>
      <c r="C11" s="74">
        <v>8000</v>
      </c>
      <c r="D11" s="75"/>
      <c r="E11" s="74">
        <v>8000</v>
      </c>
      <c r="F11" s="75"/>
      <c r="G11" s="74">
        <v>8000</v>
      </c>
      <c r="H11" s="75"/>
      <c r="I11" s="74">
        <v>8000</v>
      </c>
      <c r="J11" s="75"/>
      <c r="K11" s="74">
        <v>8000</v>
      </c>
      <c r="L11" s="75"/>
      <c r="M11" s="74">
        <v>8000</v>
      </c>
      <c r="N11" s="75"/>
      <c r="O11" s="74">
        <v>8000</v>
      </c>
      <c r="P11" s="75"/>
      <c r="Q11" s="74">
        <v>8000</v>
      </c>
      <c r="R11" s="75"/>
      <c r="S11" s="74">
        <v>8000</v>
      </c>
      <c r="T11" s="75"/>
      <c r="U11" s="74">
        <v>8000</v>
      </c>
      <c r="V11" s="75"/>
      <c r="W11" s="74"/>
      <c r="X11" s="75"/>
      <c r="Y11" s="74"/>
      <c r="Z11" s="75"/>
      <c r="AA11" s="74">
        <v>0</v>
      </c>
      <c r="AB11" s="75"/>
    </row>
    <row r="12" spans="1:28" ht="24.75" customHeight="1">
      <c r="A12" s="65" t="s">
        <v>105</v>
      </c>
      <c r="B12" s="67"/>
      <c r="C12" s="58">
        <v>10000</v>
      </c>
      <c r="D12" s="59"/>
      <c r="E12" s="58">
        <v>10000</v>
      </c>
      <c r="F12" s="59"/>
      <c r="G12" s="58">
        <v>10000</v>
      </c>
      <c r="H12" s="59"/>
      <c r="I12" s="58">
        <v>10000</v>
      </c>
      <c r="J12" s="59"/>
      <c r="K12" s="58">
        <v>10000</v>
      </c>
      <c r="L12" s="59"/>
      <c r="M12" s="58">
        <v>10000</v>
      </c>
      <c r="N12" s="59"/>
      <c r="O12" s="58">
        <v>10000</v>
      </c>
      <c r="P12" s="59"/>
      <c r="Q12" s="58">
        <v>10000</v>
      </c>
      <c r="R12" s="59"/>
      <c r="S12" s="58">
        <v>10000</v>
      </c>
      <c r="T12" s="59"/>
      <c r="U12" s="58">
        <v>10000</v>
      </c>
      <c r="V12" s="59"/>
      <c r="W12" s="58"/>
      <c r="X12" s="59"/>
      <c r="Y12" s="58"/>
      <c r="Z12" s="59"/>
      <c r="AA12" s="58"/>
      <c r="AB12" s="59"/>
    </row>
    <row r="13" spans="1:28" ht="24.75" customHeight="1">
      <c r="A13" s="89" t="s">
        <v>99</v>
      </c>
      <c r="B13" s="66"/>
      <c r="C13" s="58">
        <v>1250</v>
      </c>
      <c r="D13" s="59"/>
      <c r="E13" s="58">
        <v>1250</v>
      </c>
      <c r="F13" s="59"/>
      <c r="G13" s="58">
        <v>1250</v>
      </c>
      <c r="H13" s="59"/>
      <c r="I13" s="58">
        <v>1250</v>
      </c>
      <c r="J13" s="59"/>
      <c r="K13" s="58">
        <v>1250</v>
      </c>
      <c r="L13" s="59"/>
      <c r="M13" s="58">
        <v>1250</v>
      </c>
      <c r="N13" s="59"/>
      <c r="O13" s="58">
        <v>1250</v>
      </c>
      <c r="P13" s="59"/>
      <c r="Q13" s="58">
        <v>1250</v>
      </c>
      <c r="R13" s="59"/>
      <c r="S13" s="58">
        <v>1250</v>
      </c>
      <c r="T13" s="59"/>
      <c r="U13" s="58">
        <v>1250</v>
      </c>
      <c r="V13" s="59"/>
      <c r="W13" s="58"/>
      <c r="X13" s="59"/>
      <c r="Y13" s="58"/>
      <c r="Z13" s="59"/>
      <c r="AA13" s="58"/>
      <c r="AB13" s="59"/>
    </row>
    <row r="14" spans="1:28" ht="24.75" customHeight="1" thickBot="1">
      <c r="A14" s="80" t="s">
        <v>107</v>
      </c>
      <c r="B14" s="82"/>
      <c r="C14" s="85">
        <v>1562</v>
      </c>
      <c r="D14" s="86"/>
      <c r="E14" s="85">
        <v>1562</v>
      </c>
      <c r="F14" s="86"/>
      <c r="G14" s="85">
        <v>1562</v>
      </c>
      <c r="H14" s="86"/>
      <c r="I14" s="85">
        <v>1562</v>
      </c>
      <c r="J14" s="86"/>
      <c r="K14" s="85">
        <v>1562</v>
      </c>
      <c r="L14" s="86"/>
      <c r="M14" s="85">
        <v>1562</v>
      </c>
      <c r="N14" s="86"/>
      <c r="O14" s="85">
        <v>1562</v>
      </c>
      <c r="P14" s="86"/>
      <c r="Q14" s="85">
        <v>1562</v>
      </c>
      <c r="R14" s="86"/>
      <c r="S14" s="85">
        <v>1562</v>
      </c>
      <c r="T14" s="86"/>
      <c r="U14" s="85">
        <v>1562</v>
      </c>
      <c r="V14" s="86"/>
      <c r="W14" s="85"/>
      <c r="X14" s="86"/>
      <c r="Y14" s="85"/>
      <c r="Z14" s="86"/>
      <c r="AA14" s="85"/>
      <c r="AB14" s="86"/>
    </row>
    <row r="15" spans="1:28" ht="24.75" customHeight="1" thickTop="1">
      <c r="A15" s="91" t="s">
        <v>42</v>
      </c>
      <c r="B15" s="12" t="s">
        <v>104</v>
      </c>
      <c r="C15" s="74"/>
      <c r="D15" s="75"/>
      <c r="E15" s="74"/>
      <c r="F15" s="75"/>
      <c r="G15" s="74"/>
      <c r="H15" s="75"/>
      <c r="I15" s="74"/>
      <c r="J15" s="75"/>
      <c r="K15" s="74"/>
      <c r="L15" s="75"/>
      <c r="M15" s="74"/>
      <c r="N15" s="75"/>
      <c r="O15" s="74">
        <v>100</v>
      </c>
      <c r="P15" s="75"/>
      <c r="Q15" s="74">
        <v>250</v>
      </c>
      <c r="R15" s="75"/>
      <c r="S15" s="74"/>
      <c r="T15" s="75"/>
      <c r="U15" s="74">
        <v>350</v>
      </c>
      <c r="V15" s="75"/>
      <c r="W15" s="74"/>
      <c r="X15" s="75"/>
      <c r="Y15" s="74"/>
      <c r="Z15" s="75"/>
      <c r="AA15" s="74"/>
      <c r="AB15" s="75"/>
    </row>
    <row r="16" spans="1:28" ht="24.75" customHeight="1">
      <c r="A16" s="92"/>
      <c r="B16" s="7" t="s">
        <v>44</v>
      </c>
      <c r="C16" s="58"/>
      <c r="D16" s="59"/>
      <c r="E16" s="58"/>
      <c r="F16" s="59"/>
      <c r="G16" s="58"/>
      <c r="H16" s="59"/>
      <c r="I16" s="58"/>
      <c r="J16" s="59"/>
      <c r="K16" s="58"/>
      <c r="L16" s="59"/>
      <c r="M16" s="58"/>
      <c r="N16" s="59"/>
      <c r="O16" s="58"/>
      <c r="P16" s="59"/>
      <c r="Q16" s="58"/>
      <c r="R16" s="59"/>
      <c r="S16" s="58"/>
      <c r="T16" s="59"/>
      <c r="U16" s="58"/>
      <c r="V16" s="59"/>
      <c r="W16" s="58"/>
      <c r="X16" s="59"/>
      <c r="Y16" s="58"/>
      <c r="Z16" s="59"/>
      <c r="AA16" s="58"/>
      <c r="AB16" s="59"/>
    </row>
    <row r="17" spans="1:28" ht="24.75" customHeight="1">
      <c r="A17" s="92"/>
      <c r="B17" s="7" t="s">
        <v>45</v>
      </c>
      <c r="C17" s="58"/>
      <c r="D17" s="59"/>
      <c r="E17" s="58"/>
      <c r="F17" s="59"/>
      <c r="G17" s="58"/>
      <c r="H17" s="59"/>
      <c r="I17" s="58"/>
      <c r="J17" s="59"/>
      <c r="K17" s="58"/>
      <c r="L17" s="59"/>
      <c r="M17" s="58"/>
      <c r="N17" s="59"/>
      <c r="O17" s="58"/>
      <c r="P17" s="59"/>
      <c r="Q17" s="58"/>
      <c r="R17" s="59"/>
      <c r="S17" s="58"/>
      <c r="T17" s="59"/>
      <c r="U17" s="58"/>
      <c r="V17" s="59"/>
      <c r="W17" s="58"/>
      <c r="X17" s="59"/>
      <c r="Y17" s="58"/>
      <c r="Z17" s="59"/>
      <c r="AA17" s="58"/>
      <c r="AB17" s="59"/>
    </row>
    <row r="18" spans="1:28" ht="24.75" customHeight="1">
      <c r="A18" s="92"/>
      <c r="B18" s="8" t="s">
        <v>28</v>
      </c>
      <c r="C18" s="58">
        <v>2000</v>
      </c>
      <c r="D18" s="59"/>
      <c r="E18" s="58"/>
      <c r="F18" s="59"/>
      <c r="G18" s="58"/>
      <c r="H18" s="59"/>
      <c r="I18" s="58"/>
      <c r="J18" s="59"/>
      <c r="K18" s="58"/>
      <c r="L18" s="59"/>
      <c r="M18" s="58"/>
      <c r="N18" s="59"/>
      <c r="O18" s="58"/>
      <c r="P18" s="59"/>
      <c r="Q18" s="58">
        <v>200</v>
      </c>
      <c r="R18" s="59"/>
      <c r="S18" s="58"/>
      <c r="T18" s="59"/>
      <c r="U18" s="58">
        <v>1200</v>
      </c>
      <c r="V18" s="59"/>
      <c r="W18" s="58"/>
      <c r="X18" s="59"/>
      <c r="Y18" s="58"/>
      <c r="Z18" s="59"/>
      <c r="AA18" s="58"/>
      <c r="AB18" s="59"/>
    </row>
    <row r="19" spans="1:28" ht="24.75" customHeight="1">
      <c r="A19" s="92"/>
      <c r="B19" s="8" t="s">
        <v>29</v>
      </c>
      <c r="C19" s="58"/>
      <c r="D19" s="59"/>
      <c r="E19" s="58"/>
      <c r="F19" s="59"/>
      <c r="G19" s="58"/>
      <c r="H19" s="59"/>
      <c r="I19" s="58"/>
      <c r="J19" s="59"/>
      <c r="K19" s="58"/>
      <c r="L19" s="59"/>
      <c r="M19" s="58"/>
      <c r="N19" s="59"/>
      <c r="O19" s="58"/>
      <c r="P19" s="59"/>
      <c r="Q19" s="58"/>
      <c r="R19" s="59"/>
      <c r="S19" s="58"/>
      <c r="T19" s="59"/>
      <c r="U19" s="58"/>
      <c r="V19" s="59"/>
      <c r="W19" s="58"/>
      <c r="X19" s="59"/>
      <c r="Y19" s="58"/>
      <c r="Z19" s="59"/>
      <c r="AA19" s="58"/>
      <c r="AB19" s="59"/>
    </row>
    <row r="20" spans="1:28" ht="24.75" customHeight="1" thickBot="1">
      <c r="A20" s="93"/>
      <c r="B20" s="13" t="s">
        <v>30</v>
      </c>
      <c r="C20" s="85"/>
      <c r="D20" s="86"/>
      <c r="E20" s="85"/>
      <c r="F20" s="86"/>
      <c r="G20" s="85"/>
      <c r="H20" s="86"/>
      <c r="I20" s="85"/>
      <c r="J20" s="86"/>
      <c r="K20" s="85">
        <v>1000</v>
      </c>
      <c r="L20" s="86"/>
      <c r="M20" s="85"/>
      <c r="N20" s="86"/>
      <c r="O20" s="85"/>
      <c r="P20" s="86"/>
      <c r="Q20" s="85"/>
      <c r="R20" s="86"/>
      <c r="S20" s="85"/>
      <c r="T20" s="86"/>
      <c r="U20" s="85"/>
      <c r="V20" s="86"/>
      <c r="W20" s="85"/>
      <c r="X20" s="86"/>
      <c r="Y20" s="85"/>
      <c r="Z20" s="86"/>
      <c r="AA20" s="85"/>
      <c r="AB20" s="86"/>
    </row>
    <row r="21" spans="1:28" ht="24.75" customHeight="1" thickTop="1">
      <c r="A21" s="71" t="s">
        <v>31</v>
      </c>
      <c r="B21" s="73"/>
      <c r="C21" s="83">
        <f>C7*C11+C18</f>
        <v>82000</v>
      </c>
      <c r="D21" s="84"/>
      <c r="E21" s="83">
        <f>E7*E11</f>
        <v>16000</v>
      </c>
      <c r="F21" s="84"/>
      <c r="G21" s="83">
        <f>G7*G11+G14</f>
        <v>73562</v>
      </c>
      <c r="H21" s="84"/>
      <c r="I21" s="83">
        <f>I7*I11</f>
        <v>16000</v>
      </c>
      <c r="J21" s="84"/>
      <c r="K21" s="83">
        <f>K7*K11+K20</f>
        <v>25000</v>
      </c>
      <c r="L21" s="84"/>
      <c r="M21" s="83">
        <f>M7*M11</f>
        <v>48000</v>
      </c>
      <c r="N21" s="84"/>
      <c r="O21" s="83">
        <f>O7*O11+O15</f>
        <v>16100</v>
      </c>
      <c r="P21" s="84"/>
      <c r="Q21" s="83">
        <f>Q7*Q11+Q15+Q18</f>
        <v>40450</v>
      </c>
      <c r="R21" s="84"/>
      <c r="S21" s="83">
        <v>0</v>
      </c>
      <c r="T21" s="84"/>
      <c r="U21" s="83">
        <f>U7*U11++U18+U15</f>
        <v>57550</v>
      </c>
      <c r="V21" s="84"/>
      <c r="W21" s="83">
        <f>W7*W11+W8*W12+W15</f>
        <v>0</v>
      </c>
      <c r="X21" s="84"/>
      <c r="Y21" s="83"/>
      <c r="Z21" s="84"/>
      <c r="AA21" s="83"/>
      <c r="AB21" s="84"/>
    </row>
    <row r="22" spans="1:28" ht="24.75" customHeight="1">
      <c r="A22" s="65" t="s">
        <v>32</v>
      </c>
      <c r="B22" s="67"/>
      <c r="C22" s="58"/>
      <c r="D22" s="59"/>
      <c r="E22" s="58"/>
      <c r="F22" s="59"/>
      <c r="G22" s="58"/>
      <c r="H22" s="59"/>
      <c r="I22" s="58"/>
      <c r="J22" s="59"/>
      <c r="K22" s="58"/>
      <c r="L22" s="59"/>
      <c r="M22" s="58"/>
      <c r="N22" s="59"/>
      <c r="O22" s="58"/>
      <c r="P22" s="59"/>
      <c r="Q22" s="58"/>
      <c r="R22" s="59"/>
      <c r="S22" s="58"/>
      <c r="T22" s="59"/>
      <c r="U22" s="58"/>
      <c r="V22" s="59"/>
      <c r="W22" s="58"/>
      <c r="X22" s="59"/>
      <c r="Y22" s="58"/>
      <c r="Z22" s="59"/>
      <c r="AA22" s="58"/>
      <c r="AB22" s="59"/>
    </row>
    <row r="23" spans="1:28" ht="24.75" customHeight="1" thickBot="1">
      <c r="A23" s="80" t="s">
        <v>39</v>
      </c>
      <c r="B23" s="82"/>
      <c r="C23" s="85"/>
      <c r="D23" s="86"/>
      <c r="E23" s="85"/>
      <c r="F23" s="86"/>
      <c r="G23" s="85"/>
      <c r="H23" s="86"/>
      <c r="I23" s="85"/>
      <c r="J23" s="86"/>
      <c r="K23" s="85">
        <v>10000</v>
      </c>
      <c r="L23" s="86"/>
      <c r="M23" s="85"/>
      <c r="N23" s="86"/>
      <c r="O23" s="85"/>
      <c r="P23" s="86"/>
      <c r="Q23" s="85"/>
      <c r="R23" s="86"/>
      <c r="S23" s="85"/>
      <c r="T23" s="86"/>
      <c r="U23" s="85"/>
      <c r="V23" s="86"/>
      <c r="W23" s="85"/>
      <c r="X23" s="86"/>
      <c r="Y23" s="85"/>
      <c r="Z23" s="86"/>
      <c r="AA23" s="85"/>
      <c r="AB23" s="86"/>
    </row>
    <row r="24" spans="1:28" ht="24.75" customHeight="1" thickTop="1" thickBot="1">
      <c r="A24" s="181" t="s">
        <v>20</v>
      </c>
      <c r="B24" s="182"/>
      <c r="C24" s="183">
        <v>82000</v>
      </c>
      <c r="D24" s="184"/>
      <c r="E24" s="183">
        <v>16000</v>
      </c>
      <c r="F24" s="184"/>
      <c r="G24" s="183">
        <v>73250</v>
      </c>
      <c r="H24" s="184"/>
      <c r="I24" s="183">
        <v>16000</v>
      </c>
      <c r="J24" s="184"/>
      <c r="K24" s="183">
        <f>K21+K23</f>
        <v>35000</v>
      </c>
      <c r="L24" s="184"/>
      <c r="M24" s="183">
        <v>48000</v>
      </c>
      <c r="N24" s="184"/>
      <c r="O24" s="183">
        <v>16100</v>
      </c>
      <c r="P24" s="184"/>
      <c r="Q24" s="183">
        <v>40450</v>
      </c>
      <c r="R24" s="184"/>
      <c r="S24" s="183">
        <v>0</v>
      </c>
      <c r="T24" s="184"/>
      <c r="U24" s="183">
        <v>57550</v>
      </c>
      <c r="V24" s="184"/>
      <c r="W24" s="183"/>
      <c r="X24" s="184"/>
      <c r="Y24" s="183"/>
      <c r="Z24" s="184"/>
      <c r="AA24" s="183"/>
      <c r="AB24" s="184"/>
    </row>
    <row r="25" spans="1:28" ht="24.75" customHeight="1">
      <c r="A25" s="109" t="s">
        <v>33</v>
      </c>
      <c r="B25" s="10" t="s">
        <v>34</v>
      </c>
      <c r="C25" s="115"/>
      <c r="D25" s="116"/>
      <c r="E25" s="115"/>
      <c r="F25" s="116"/>
      <c r="G25" s="115"/>
      <c r="H25" s="116"/>
      <c r="I25" s="115"/>
      <c r="J25" s="116"/>
      <c r="K25" s="115"/>
      <c r="L25" s="116"/>
      <c r="M25" s="115">
        <v>144</v>
      </c>
      <c r="N25" s="116"/>
      <c r="O25" s="115">
        <v>48</v>
      </c>
      <c r="P25" s="116"/>
      <c r="Q25" s="115">
        <v>121</v>
      </c>
      <c r="R25" s="116"/>
      <c r="S25" s="115">
        <v>0</v>
      </c>
      <c r="T25" s="116"/>
      <c r="U25" s="115">
        <v>0</v>
      </c>
      <c r="V25" s="116"/>
      <c r="W25" s="115"/>
      <c r="X25" s="116"/>
      <c r="Y25" s="115"/>
      <c r="Z25" s="116"/>
      <c r="AA25" s="115"/>
      <c r="AB25" s="121"/>
    </row>
    <row r="26" spans="1:28" ht="24.75" customHeight="1">
      <c r="A26" s="110"/>
      <c r="B26" s="15" t="s">
        <v>35</v>
      </c>
      <c r="C26" s="58"/>
      <c r="D26" s="59"/>
      <c r="E26" s="58"/>
      <c r="F26" s="59"/>
      <c r="G26" s="58"/>
      <c r="H26" s="59"/>
      <c r="I26" s="58"/>
      <c r="J26" s="59"/>
      <c r="K26" s="58"/>
      <c r="L26" s="59"/>
      <c r="M26" s="58"/>
      <c r="N26" s="59"/>
      <c r="O26" s="58"/>
      <c r="P26" s="59"/>
      <c r="Q26" s="58"/>
      <c r="R26" s="59"/>
      <c r="S26" s="58"/>
      <c r="T26" s="59"/>
      <c r="U26" s="58"/>
      <c r="V26" s="59"/>
      <c r="W26" s="58"/>
      <c r="X26" s="59"/>
      <c r="Y26" s="58"/>
      <c r="Z26" s="59"/>
      <c r="AA26" s="58"/>
      <c r="AB26" s="79"/>
    </row>
    <row r="27" spans="1:28" ht="24.75" customHeight="1">
      <c r="A27" s="110"/>
      <c r="B27" s="15" t="s">
        <v>47</v>
      </c>
      <c r="C27" s="58">
        <v>5300</v>
      </c>
      <c r="D27" s="59"/>
      <c r="E27" s="58">
        <v>5300</v>
      </c>
      <c r="F27" s="59"/>
      <c r="G27" s="58">
        <v>4800</v>
      </c>
      <c r="H27" s="59"/>
      <c r="I27" s="58">
        <v>3800</v>
      </c>
      <c r="J27" s="59"/>
      <c r="K27" s="58">
        <v>3800</v>
      </c>
      <c r="L27" s="59"/>
      <c r="M27" s="58">
        <v>3800</v>
      </c>
      <c r="N27" s="59"/>
      <c r="O27" s="58">
        <v>3800</v>
      </c>
      <c r="P27" s="59"/>
      <c r="Q27" s="58">
        <v>3800</v>
      </c>
      <c r="R27" s="59"/>
      <c r="S27" s="58">
        <v>0</v>
      </c>
      <c r="T27" s="59"/>
      <c r="U27" s="58">
        <v>3800</v>
      </c>
      <c r="V27" s="59"/>
      <c r="W27" s="58"/>
      <c r="X27" s="59"/>
      <c r="Y27" s="58"/>
      <c r="Z27" s="59"/>
      <c r="AA27" s="58"/>
      <c r="AB27" s="79"/>
    </row>
    <row r="28" spans="1:28" ht="24.75" customHeight="1">
      <c r="A28" s="111"/>
      <c r="B28" s="14" t="s">
        <v>48</v>
      </c>
      <c r="C28" s="83">
        <v>25000</v>
      </c>
      <c r="D28" s="84"/>
      <c r="E28" s="83">
        <v>30000</v>
      </c>
      <c r="F28" s="84"/>
      <c r="G28" s="83">
        <v>30000</v>
      </c>
      <c r="H28" s="84"/>
      <c r="I28" s="83">
        <v>30000</v>
      </c>
      <c r="J28" s="84"/>
      <c r="K28" s="83">
        <v>30000</v>
      </c>
      <c r="L28" s="84"/>
      <c r="M28" s="83">
        <v>26000</v>
      </c>
      <c r="N28" s="84"/>
      <c r="O28" s="83">
        <v>26000</v>
      </c>
      <c r="P28" s="84"/>
      <c r="Q28" s="83">
        <v>26000</v>
      </c>
      <c r="R28" s="84"/>
      <c r="S28" s="83">
        <v>0</v>
      </c>
      <c r="T28" s="84"/>
      <c r="U28" s="83">
        <v>26000</v>
      </c>
      <c r="V28" s="84"/>
      <c r="W28" s="83"/>
      <c r="X28" s="84"/>
      <c r="Y28" s="83"/>
      <c r="Z28" s="84"/>
      <c r="AA28" s="83"/>
      <c r="AB28" s="97"/>
    </row>
    <row r="29" spans="1:28" ht="24.75" customHeight="1" thickBot="1">
      <c r="A29" s="112"/>
      <c r="B29" s="11" t="s">
        <v>51</v>
      </c>
      <c r="C29" s="101"/>
      <c r="D29" s="102"/>
      <c r="E29" s="101">
        <v>500</v>
      </c>
      <c r="F29" s="102"/>
      <c r="G29" s="101">
        <v>2250</v>
      </c>
      <c r="H29" s="102"/>
      <c r="I29" s="101">
        <v>500</v>
      </c>
      <c r="J29" s="102"/>
      <c r="K29" s="101">
        <v>10500</v>
      </c>
      <c r="L29" s="102"/>
      <c r="M29" s="101">
        <v>500</v>
      </c>
      <c r="N29" s="102"/>
      <c r="O29" s="101">
        <v>250</v>
      </c>
      <c r="P29" s="102"/>
      <c r="Q29" s="101">
        <v>1250</v>
      </c>
      <c r="R29" s="102"/>
      <c r="S29" s="101">
        <v>0</v>
      </c>
      <c r="T29" s="102"/>
      <c r="U29" s="101">
        <v>500</v>
      </c>
      <c r="V29" s="102"/>
      <c r="W29" s="101"/>
      <c r="X29" s="102"/>
      <c r="Y29" s="101"/>
      <c r="Z29" s="102"/>
      <c r="AA29" s="101"/>
      <c r="AB29" s="123"/>
    </row>
    <row r="30" spans="1:28" ht="24.75" customHeight="1" thickBot="1">
      <c r="A30" s="71" t="s">
        <v>36</v>
      </c>
      <c r="B30" s="73"/>
      <c r="C30" s="83">
        <f>SUM(C25:D29)</f>
        <v>30300</v>
      </c>
      <c r="D30" s="84"/>
      <c r="E30" s="83">
        <f>SUM(E27:E29)</f>
        <v>35800</v>
      </c>
      <c r="F30" s="84"/>
      <c r="G30" s="83">
        <f>SUM(G27:G29)</f>
        <v>37050</v>
      </c>
      <c r="H30" s="84"/>
      <c r="I30" s="83">
        <f>SUM(I27:I29)</f>
        <v>34300</v>
      </c>
      <c r="J30" s="84"/>
      <c r="K30" s="83">
        <f>K27+K28+K29</f>
        <v>44300</v>
      </c>
      <c r="L30" s="84"/>
      <c r="M30" s="83">
        <f>M25+M27+M28+M29</f>
        <v>30444</v>
      </c>
      <c r="N30" s="84"/>
      <c r="O30" s="83">
        <f>O25+O27+O28+O29</f>
        <v>30098</v>
      </c>
      <c r="P30" s="84"/>
      <c r="Q30" s="83">
        <v>31171</v>
      </c>
      <c r="R30" s="84"/>
      <c r="S30" s="83">
        <v>0</v>
      </c>
      <c r="T30" s="84"/>
      <c r="U30" s="83">
        <v>30300</v>
      </c>
      <c r="V30" s="84"/>
      <c r="W30" s="83"/>
      <c r="X30" s="84"/>
      <c r="Y30" s="83"/>
      <c r="Z30" s="84"/>
      <c r="AA30" s="83"/>
      <c r="AB30" s="84"/>
    </row>
    <row r="31" spans="1:28" ht="24.75" customHeight="1" thickTop="1" thickBot="1">
      <c r="A31" s="132" t="s">
        <v>37</v>
      </c>
      <c r="B31" s="134"/>
      <c r="C31" s="126">
        <f>C24-C30</f>
        <v>51700</v>
      </c>
      <c r="D31" s="127"/>
      <c r="E31" s="126">
        <f>E24-E30</f>
        <v>-19800</v>
      </c>
      <c r="F31" s="127"/>
      <c r="G31" s="126">
        <f>G24-G30</f>
        <v>36200</v>
      </c>
      <c r="H31" s="127"/>
      <c r="I31" s="126">
        <f>I24-I30</f>
        <v>-18300</v>
      </c>
      <c r="J31" s="127"/>
      <c r="K31" s="126">
        <f>K24-K30</f>
        <v>-9300</v>
      </c>
      <c r="L31" s="127"/>
      <c r="M31" s="126">
        <f>M24-M30</f>
        <v>17556</v>
      </c>
      <c r="N31" s="127"/>
      <c r="O31" s="126">
        <f>O24-O30</f>
        <v>-13998</v>
      </c>
      <c r="P31" s="127"/>
      <c r="Q31" s="126">
        <f>Q24-Q30</f>
        <v>9279</v>
      </c>
      <c r="R31" s="127"/>
      <c r="S31" s="126">
        <v>0</v>
      </c>
      <c r="T31" s="127"/>
      <c r="U31" s="126">
        <f>U24-U30</f>
        <v>27250</v>
      </c>
      <c r="V31" s="127"/>
      <c r="W31" s="126"/>
      <c r="X31" s="127"/>
      <c r="Y31" s="126"/>
      <c r="Z31" s="127"/>
      <c r="AA31" s="126"/>
      <c r="AB31" s="127"/>
    </row>
  </sheetData>
  <mergeCells count="314">
    <mergeCell ref="W30:X30"/>
    <mergeCell ref="Y30:Z30"/>
    <mergeCell ref="AA30:AB30"/>
    <mergeCell ref="A31:B31"/>
    <mergeCell ref="C31:D31"/>
    <mergeCell ref="E31:F31"/>
    <mergeCell ref="G31:H31"/>
    <mergeCell ref="I31:J31"/>
    <mergeCell ref="W31:X31"/>
    <mergeCell ref="Y31:Z31"/>
    <mergeCell ref="AA31:AB31"/>
    <mergeCell ref="K31:L31"/>
    <mergeCell ref="M31:N31"/>
    <mergeCell ref="O31:P31"/>
    <mergeCell ref="Q31:R31"/>
    <mergeCell ref="S31:T31"/>
    <mergeCell ref="U31:V31"/>
    <mergeCell ref="AA29:AB29"/>
    <mergeCell ref="A30:B30"/>
    <mergeCell ref="C30:D30"/>
    <mergeCell ref="E30:F30"/>
    <mergeCell ref="G30:H30"/>
    <mergeCell ref="I30:J30"/>
    <mergeCell ref="K30:L30"/>
    <mergeCell ref="M30:N30"/>
    <mergeCell ref="O30:P30"/>
    <mergeCell ref="Q30:R30"/>
    <mergeCell ref="O29:P29"/>
    <mergeCell ref="Q29:R29"/>
    <mergeCell ref="S29:T29"/>
    <mergeCell ref="U29:V29"/>
    <mergeCell ref="W29:X29"/>
    <mergeCell ref="Y29:Z29"/>
    <mergeCell ref="C29:D29"/>
    <mergeCell ref="E29:F29"/>
    <mergeCell ref="G29:H29"/>
    <mergeCell ref="I29:J29"/>
    <mergeCell ref="K29:L29"/>
    <mergeCell ref="M29:N29"/>
    <mergeCell ref="S30:T30"/>
    <mergeCell ref="U30:V30"/>
    <mergeCell ref="W28:X28"/>
    <mergeCell ref="Y28:Z28"/>
    <mergeCell ref="AA28:AB28"/>
    <mergeCell ref="W25:X25"/>
    <mergeCell ref="Y25:Z25"/>
    <mergeCell ref="AA25:AB25"/>
    <mergeCell ref="Q25:R25"/>
    <mergeCell ref="S25:T25"/>
    <mergeCell ref="U25:V25"/>
    <mergeCell ref="Q26:R26"/>
    <mergeCell ref="S26:T26"/>
    <mergeCell ref="U26:V26"/>
    <mergeCell ref="W26:X26"/>
    <mergeCell ref="Y26:Z26"/>
    <mergeCell ref="AA26:AB26"/>
    <mergeCell ref="Q27:R27"/>
    <mergeCell ref="S27:T27"/>
    <mergeCell ref="U27:V27"/>
    <mergeCell ref="W27:X27"/>
    <mergeCell ref="Y27:Z27"/>
    <mergeCell ref="AA27:AB27"/>
    <mergeCell ref="K28:L28"/>
    <mergeCell ref="M28:N28"/>
    <mergeCell ref="O28:P28"/>
    <mergeCell ref="K25:L25"/>
    <mergeCell ref="M25:N25"/>
    <mergeCell ref="O25:P25"/>
    <mergeCell ref="Q28:R28"/>
    <mergeCell ref="S28:T28"/>
    <mergeCell ref="U28:V28"/>
    <mergeCell ref="K26:L26"/>
    <mergeCell ref="M26:N26"/>
    <mergeCell ref="O26:P26"/>
    <mergeCell ref="K27:L27"/>
    <mergeCell ref="M27:N27"/>
    <mergeCell ref="O27:P27"/>
    <mergeCell ref="A23:B23"/>
    <mergeCell ref="C23:D23"/>
    <mergeCell ref="E23:F23"/>
    <mergeCell ref="A25:A29"/>
    <mergeCell ref="C25:D25"/>
    <mergeCell ref="E25:F25"/>
    <mergeCell ref="G25:H25"/>
    <mergeCell ref="I25:J25"/>
    <mergeCell ref="C28:D28"/>
    <mergeCell ref="E28:F28"/>
    <mergeCell ref="G28:H28"/>
    <mergeCell ref="I28:J28"/>
    <mergeCell ref="C26:D26"/>
    <mergeCell ref="E26:F26"/>
    <mergeCell ref="G26:H26"/>
    <mergeCell ref="I26:J26"/>
    <mergeCell ref="C27:D27"/>
    <mergeCell ref="E27:F27"/>
    <mergeCell ref="G27:H27"/>
    <mergeCell ref="I27:J27"/>
    <mergeCell ref="S21:T21"/>
    <mergeCell ref="U21:V21"/>
    <mergeCell ref="W21:X21"/>
    <mergeCell ref="AA23:AB23"/>
    <mergeCell ref="A24:B24"/>
    <mergeCell ref="C24:D24"/>
    <mergeCell ref="E24:F24"/>
    <mergeCell ref="G24:H24"/>
    <mergeCell ref="I24:J24"/>
    <mergeCell ref="K24:L24"/>
    <mergeCell ref="M24:N24"/>
    <mergeCell ref="O24:P24"/>
    <mergeCell ref="Q24:R24"/>
    <mergeCell ref="O23:P23"/>
    <mergeCell ref="Q23:R23"/>
    <mergeCell ref="S23:T23"/>
    <mergeCell ref="U23:V23"/>
    <mergeCell ref="W23:X23"/>
    <mergeCell ref="Y23:Z23"/>
    <mergeCell ref="S24:T24"/>
    <mergeCell ref="U24:V24"/>
    <mergeCell ref="W24:X24"/>
    <mergeCell ref="Y24:Z24"/>
    <mergeCell ref="AA24:AB24"/>
    <mergeCell ref="M21:N21"/>
    <mergeCell ref="O21:P21"/>
    <mergeCell ref="Q21:R21"/>
    <mergeCell ref="G23:H23"/>
    <mergeCell ref="I23:J23"/>
    <mergeCell ref="K23:L23"/>
    <mergeCell ref="M23:N23"/>
    <mergeCell ref="K22:L22"/>
    <mergeCell ref="M22:N22"/>
    <mergeCell ref="I19:J19"/>
    <mergeCell ref="K19:L19"/>
    <mergeCell ref="M19:N19"/>
    <mergeCell ref="O19:P19"/>
    <mergeCell ref="Y21:Z21"/>
    <mergeCell ref="AA21:AB21"/>
    <mergeCell ref="A22:B22"/>
    <mergeCell ref="C22:D22"/>
    <mergeCell ref="E22:F22"/>
    <mergeCell ref="G22:H22"/>
    <mergeCell ref="I22:J22"/>
    <mergeCell ref="W22:X22"/>
    <mergeCell ref="Y22:Z22"/>
    <mergeCell ref="AA22:AB22"/>
    <mergeCell ref="O22:P22"/>
    <mergeCell ref="Q22:R22"/>
    <mergeCell ref="S22:T22"/>
    <mergeCell ref="U22:V22"/>
    <mergeCell ref="A21:B21"/>
    <mergeCell ref="C21:D21"/>
    <mergeCell ref="E21:F21"/>
    <mergeCell ref="G21:H21"/>
    <mergeCell ref="I21:J21"/>
    <mergeCell ref="K21:L21"/>
    <mergeCell ref="C20:D20"/>
    <mergeCell ref="E20:F20"/>
    <mergeCell ref="G20:H20"/>
    <mergeCell ref="I20:J20"/>
    <mergeCell ref="K20:L20"/>
    <mergeCell ref="M20:N20"/>
    <mergeCell ref="AA20:AB20"/>
    <mergeCell ref="O20:P20"/>
    <mergeCell ref="Q20:R20"/>
    <mergeCell ref="S20:T20"/>
    <mergeCell ref="U20:V20"/>
    <mergeCell ref="W20:X20"/>
    <mergeCell ref="Y20:Z20"/>
    <mergeCell ref="Q19:R19"/>
    <mergeCell ref="S19:T19"/>
    <mergeCell ref="Y17:Z17"/>
    <mergeCell ref="AA17:AB17"/>
    <mergeCell ref="C18:D18"/>
    <mergeCell ref="E18:F18"/>
    <mergeCell ref="G18:H18"/>
    <mergeCell ref="I18:J18"/>
    <mergeCell ref="K18:L18"/>
    <mergeCell ref="M18:N18"/>
    <mergeCell ref="AA18:AB18"/>
    <mergeCell ref="O18:P18"/>
    <mergeCell ref="Q18:R18"/>
    <mergeCell ref="S18:T18"/>
    <mergeCell ref="U18:V18"/>
    <mergeCell ref="W18:X18"/>
    <mergeCell ref="Y18:Z18"/>
    <mergeCell ref="U19:V19"/>
    <mergeCell ref="W19:X19"/>
    <mergeCell ref="Y19:Z19"/>
    <mergeCell ref="AA19:AB19"/>
    <mergeCell ref="C19:D19"/>
    <mergeCell ref="E19:F19"/>
    <mergeCell ref="G19:H19"/>
    <mergeCell ref="AA16:AB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O16:P16"/>
    <mergeCell ref="Q16:R16"/>
    <mergeCell ref="S16:T16"/>
    <mergeCell ref="U16:V16"/>
    <mergeCell ref="W16:X16"/>
    <mergeCell ref="Y16:Z16"/>
    <mergeCell ref="C16:D16"/>
    <mergeCell ref="E16:F16"/>
    <mergeCell ref="G16:H16"/>
    <mergeCell ref="I16:J16"/>
    <mergeCell ref="K16:L16"/>
    <mergeCell ref="M16:N16"/>
    <mergeCell ref="U17:V17"/>
    <mergeCell ref="W17:X17"/>
    <mergeCell ref="Q15:R15"/>
    <mergeCell ref="S15:T15"/>
    <mergeCell ref="U15:V15"/>
    <mergeCell ref="W15:X15"/>
    <mergeCell ref="Y15:Z15"/>
    <mergeCell ref="AA15:AB15"/>
    <mergeCell ref="Y14:Z14"/>
    <mergeCell ref="AA14:AB14"/>
    <mergeCell ref="A15:A20"/>
    <mergeCell ref="C15:D15"/>
    <mergeCell ref="E15:F15"/>
    <mergeCell ref="G15:H15"/>
    <mergeCell ref="I15:J15"/>
    <mergeCell ref="K15:L15"/>
    <mergeCell ref="M15:N15"/>
    <mergeCell ref="O15:P15"/>
    <mergeCell ref="M14:N14"/>
    <mergeCell ref="O14:P14"/>
    <mergeCell ref="Q14:R14"/>
    <mergeCell ref="S14:T14"/>
    <mergeCell ref="U14:V14"/>
    <mergeCell ref="W14:X14"/>
    <mergeCell ref="A14:B14"/>
    <mergeCell ref="C14:D14"/>
    <mergeCell ref="E14:F14"/>
    <mergeCell ref="G14:H14"/>
    <mergeCell ref="I14:J14"/>
    <mergeCell ref="K14:L14"/>
    <mergeCell ref="Q13:R13"/>
    <mergeCell ref="S13:T13"/>
    <mergeCell ref="U13:V13"/>
    <mergeCell ref="W13:X13"/>
    <mergeCell ref="Y13:Z13"/>
    <mergeCell ref="AA13:AB13"/>
    <mergeCell ref="Y12:Z12"/>
    <mergeCell ref="AA12:AB12"/>
    <mergeCell ref="A13:B13"/>
    <mergeCell ref="C13:D13"/>
    <mergeCell ref="E13:F13"/>
    <mergeCell ref="G13:H13"/>
    <mergeCell ref="I13:J13"/>
    <mergeCell ref="K13:L13"/>
    <mergeCell ref="M13:N13"/>
    <mergeCell ref="O13:P13"/>
    <mergeCell ref="M12:N12"/>
    <mergeCell ref="O12:P12"/>
    <mergeCell ref="Q12:R12"/>
    <mergeCell ref="S12:T12"/>
    <mergeCell ref="U12:V12"/>
    <mergeCell ref="W12:X12"/>
    <mergeCell ref="U11:V11"/>
    <mergeCell ref="W11:X11"/>
    <mergeCell ref="Y11:Z11"/>
    <mergeCell ref="AA11:AB11"/>
    <mergeCell ref="A12:B12"/>
    <mergeCell ref="C12:D12"/>
    <mergeCell ref="E12:F12"/>
    <mergeCell ref="G12:H12"/>
    <mergeCell ref="I12:J12"/>
    <mergeCell ref="K12:L12"/>
    <mergeCell ref="I11:J11"/>
    <mergeCell ref="K11:L11"/>
    <mergeCell ref="M11:N11"/>
    <mergeCell ref="O11:P11"/>
    <mergeCell ref="Q11:R11"/>
    <mergeCell ref="S11:T11"/>
    <mergeCell ref="O6:P6"/>
    <mergeCell ref="Q6:R6"/>
    <mergeCell ref="S6:T6"/>
    <mergeCell ref="U6:V6"/>
    <mergeCell ref="A6:B6"/>
    <mergeCell ref="C6:D6"/>
    <mergeCell ref="E6:F6"/>
    <mergeCell ref="G6:H6"/>
    <mergeCell ref="I6:J6"/>
    <mergeCell ref="A10:B10"/>
    <mergeCell ref="A11:B11"/>
    <mergeCell ref="C11:D11"/>
    <mergeCell ref="E11:F11"/>
    <mergeCell ref="G11:H11"/>
    <mergeCell ref="A1:AB2"/>
    <mergeCell ref="A3:C3"/>
    <mergeCell ref="D3:J3"/>
    <mergeCell ref="K3:Q3"/>
    <mergeCell ref="R3:X3"/>
    <mergeCell ref="Y3:AB3"/>
    <mergeCell ref="A4:C4"/>
    <mergeCell ref="D4:J4"/>
    <mergeCell ref="K4:Q4"/>
    <mergeCell ref="R4:X4"/>
    <mergeCell ref="Y4:AB4"/>
    <mergeCell ref="W6:X6"/>
    <mergeCell ref="Y6:Z6"/>
    <mergeCell ref="AA6:AB6"/>
    <mergeCell ref="A7:B7"/>
    <mergeCell ref="A8:B8"/>
    <mergeCell ref="A9:B9"/>
    <mergeCell ref="K6:L6"/>
    <mergeCell ref="M6:N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F7335-3EED-4564-B174-1D68CD0973F2}">
  <dimension ref="A1:AC30"/>
  <sheetViews>
    <sheetView topLeftCell="A7" workbookViewId="0">
      <selection activeCell="D7" sqref="D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101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176" t="s">
        <v>20</v>
      </c>
      <c r="AC6" s="177"/>
    </row>
    <row r="7" spans="1:29" ht="24.75" customHeight="1">
      <c r="A7" s="65" t="s">
        <v>40</v>
      </c>
      <c r="B7" s="66"/>
      <c r="C7" s="67"/>
      <c r="D7" s="3">
        <v>20</v>
      </c>
      <c r="E7" s="4" t="s">
        <v>21</v>
      </c>
      <c r="F7" s="3">
        <v>21</v>
      </c>
      <c r="G7" s="4" t="s">
        <v>21</v>
      </c>
      <c r="H7" s="3">
        <v>18</v>
      </c>
      <c r="I7" s="4" t="s">
        <v>21</v>
      </c>
      <c r="J7" s="3">
        <v>18</v>
      </c>
      <c r="K7" s="4" t="s">
        <v>21</v>
      </c>
      <c r="L7" s="3">
        <v>9</v>
      </c>
      <c r="M7" s="4" t="s">
        <v>21</v>
      </c>
      <c r="N7" s="3">
        <v>14</v>
      </c>
      <c r="O7" s="4" t="s">
        <v>21</v>
      </c>
      <c r="P7" s="3">
        <v>20</v>
      </c>
      <c r="Q7" s="4" t="s">
        <v>21</v>
      </c>
      <c r="R7" s="3">
        <v>18</v>
      </c>
      <c r="S7" s="4" t="s">
        <v>21</v>
      </c>
      <c r="T7" s="3">
        <v>17</v>
      </c>
      <c r="U7" s="4" t="s">
        <v>21</v>
      </c>
      <c r="V7" s="3">
        <v>15</v>
      </c>
      <c r="W7" s="4" t="s">
        <v>21</v>
      </c>
      <c r="X7" s="3">
        <v>16</v>
      </c>
      <c r="Y7" s="4" t="s">
        <v>21</v>
      </c>
      <c r="Z7" s="3">
        <v>18</v>
      </c>
      <c r="AA7" s="4" t="s">
        <v>21</v>
      </c>
      <c r="AB7" s="30"/>
      <c r="AC7" s="31" t="s">
        <v>21</v>
      </c>
    </row>
    <row r="8" spans="1:29" ht="24.75" customHeight="1">
      <c r="A8" s="65" t="s">
        <v>41</v>
      </c>
      <c r="B8" s="66"/>
      <c r="C8" s="67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2</v>
      </c>
      <c r="S8" s="4" t="s">
        <v>21</v>
      </c>
      <c r="T8" s="3">
        <v>1</v>
      </c>
      <c r="U8" s="4" t="s">
        <v>21</v>
      </c>
      <c r="V8" s="3"/>
      <c r="W8" s="4" t="s">
        <v>21</v>
      </c>
      <c r="X8" s="3">
        <v>3</v>
      </c>
      <c r="Y8" s="4" t="s">
        <v>21</v>
      </c>
      <c r="Z8" s="3">
        <v>1</v>
      </c>
      <c r="AA8" s="4" t="s">
        <v>21</v>
      </c>
      <c r="AB8" s="30"/>
      <c r="AC8" s="31" t="s">
        <v>22</v>
      </c>
    </row>
    <row r="9" spans="1:29" ht="24.75" customHeight="1">
      <c r="A9" s="65" t="s">
        <v>49</v>
      </c>
      <c r="B9" s="66"/>
      <c r="C9" s="67"/>
      <c r="D9" s="3">
        <v>21</v>
      </c>
      <c r="E9" s="4" t="s">
        <v>22</v>
      </c>
      <c r="F9" s="3">
        <v>4</v>
      </c>
      <c r="G9" s="4" t="s">
        <v>22</v>
      </c>
      <c r="H9" s="3">
        <v>0.5</v>
      </c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9</v>
      </c>
      <c r="S9" s="4" t="s">
        <v>22</v>
      </c>
      <c r="T9" s="3">
        <v>30</v>
      </c>
      <c r="U9" s="4" t="s">
        <v>22</v>
      </c>
      <c r="V9" s="3"/>
      <c r="W9" s="4" t="s">
        <v>22</v>
      </c>
      <c r="X9" s="3"/>
      <c r="Y9" s="4" t="s">
        <v>22</v>
      </c>
      <c r="Z9" s="3">
        <v>1</v>
      </c>
      <c r="AA9" s="4" t="s">
        <v>22</v>
      </c>
      <c r="AB9" s="30"/>
      <c r="AC9" s="31" t="s">
        <v>22</v>
      </c>
    </row>
    <row r="10" spans="1:29" ht="24.75" customHeight="1" thickBot="1">
      <c r="A10" s="80" t="s">
        <v>69</v>
      </c>
      <c r="B10" s="81"/>
      <c r="C10" s="8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3</v>
      </c>
      <c r="S10" s="4" t="s">
        <v>22</v>
      </c>
      <c r="T10" s="3">
        <v>3</v>
      </c>
      <c r="U10" s="4" t="s">
        <v>22</v>
      </c>
      <c r="V10" s="3"/>
      <c r="W10" s="4" t="s">
        <v>22</v>
      </c>
      <c r="X10" s="3">
        <v>1.5</v>
      </c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71" t="s">
        <v>26</v>
      </c>
      <c r="B11" s="72"/>
      <c r="C11" s="73"/>
      <c r="D11" s="74">
        <v>8600</v>
      </c>
      <c r="E11" s="75"/>
      <c r="F11" s="74">
        <v>8600</v>
      </c>
      <c r="G11" s="75"/>
      <c r="H11" s="74">
        <v>8600</v>
      </c>
      <c r="I11" s="75"/>
      <c r="J11" s="74">
        <v>8600</v>
      </c>
      <c r="K11" s="75"/>
      <c r="L11" s="74">
        <v>8000</v>
      </c>
      <c r="M11" s="75"/>
      <c r="N11" s="74">
        <v>8000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7"/>
      <c r="AB11" s="135"/>
      <c r="AC11" s="136"/>
    </row>
    <row r="12" spans="1:29" ht="24.75" customHeight="1">
      <c r="A12" s="65" t="s">
        <v>49</v>
      </c>
      <c r="B12" s="66"/>
      <c r="C12" s="67"/>
      <c r="D12" s="58">
        <v>1343</v>
      </c>
      <c r="E12" s="59"/>
      <c r="F12" s="58">
        <v>1343</v>
      </c>
      <c r="G12" s="59"/>
      <c r="H12" s="58">
        <v>1343</v>
      </c>
      <c r="I12" s="59"/>
      <c r="J12" s="58">
        <v>1343</v>
      </c>
      <c r="K12" s="59"/>
      <c r="L12" s="58">
        <v>1250</v>
      </c>
      <c r="M12" s="59"/>
      <c r="N12" s="58">
        <v>1250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79"/>
      <c r="AB12" s="137"/>
      <c r="AC12" s="138"/>
    </row>
    <row r="13" spans="1:29" ht="24.75" customHeight="1">
      <c r="A13" s="89" t="s">
        <v>27</v>
      </c>
      <c r="B13" s="90"/>
      <c r="C13" s="66"/>
      <c r="D13" s="58">
        <v>10750</v>
      </c>
      <c r="E13" s="59"/>
      <c r="F13" s="58">
        <v>10750</v>
      </c>
      <c r="G13" s="59"/>
      <c r="H13" s="58">
        <v>10750</v>
      </c>
      <c r="I13" s="59"/>
      <c r="J13" s="58">
        <v>10750</v>
      </c>
      <c r="K13" s="59"/>
      <c r="L13" s="58">
        <v>10000</v>
      </c>
      <c r="M13" s="59"/>
      <c r="N13" s="58">
        <v>10000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79"/>
      <c r="AB13" s="137"/>
      <c r="AC13" s="138"/>
    </row>
    <row r="14" spans="1:29" ht="24.75" customHeight="1" thickBot="1">
      <c r="A14" s="80" t="s">
        <v>50</v>
      </c>
      <c r="B14" s="81"/>
      <c r="C14" s="82"/>
      <c r="D14" s="85">
        <v>1680</v>
      </c>
      <c r="E14" s="86"/>
      <c r="F14" s="85">
        <v>1680</v>
      </c>
      <c r="G14" s="86"/>
      <c r="H14" s="85">
        <v>1680</v>
      </c>
      <c r="I14" s="86"/>
      <c r="J14" s="85">
        <v>1680</v>
      </c>
      <c r="K14" s="86"/>
      <c r="L14" s="85">
        <v>1562</v>
      </c>
      <c r="M14" s="86"/>
      <c r="N14" s="85">
        <v>1562</v>
      </c>
      <c r="O14" s="86"/>
      <c r="P14" s="85">
        <v>1562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88"/>
      <c r="AB14" s="139"/>
      <c r="AC14" s="140"/>
    </row>
    <row r="15" spans="1:29" ht="24.75" customHeight="1" thickTop="1">
      <c r="A15" s="91" t="s">
        <v>42</v>
      </c>
      <c r="B15" s="20"/>
      <c r="C15" s="22" t="s">
        <v>43</v>
      </c>
      <c r="D15" s="74"/>
      <c r="E15" s="75"/>
      <c r="F15" s="74"/>
      <c r="G15" s="75"/>
      <c r="H15" s="74"/>
      <c r="I15" s="75"/>
      <c r="J15" s="74"/>
      <c r="K15" s="75"/>
      <c r="L15" s="74">
        <v>4500</v>
      </c>
      <c r="M15" s="75"/>
      <c r="N15" s="74">
        <v>7000</v>
      </c>
      <c r="O15" s="75"/>
      <c r="P15" s="74">
        <v>14000</v>
      </c>
      <c r="Q15" s="75"/>
      <c r="R15" s="74">
        <v>14000</v>
      </c>
      <c r="S15" s="75"/>
      <c r="T15" s="74">
        <v>12700</v>
      </c>
      <c r="U15" s="75"/>
      <c r="V15" s="74">
        <v>10500</v>
      </c>
      <c r="W15" s="75"/>
      <c r="X15" s="74">
        <v>13300</v>
      </c>
      <c r="Y15" s="75"/>
      <c r="Z15" s="74">
        <v>13300</v>
      </c>
      <c r="AA15" s="75"/>
      <c r="AB15" s="135"/>
      <c r="AC15" s="136"/>
    </row>
    <row r="16" spans="1:29" ht="24.75" customHeight="1">
      <c r="A16" s="92"/>
      <c r="B16" s="18"/>
      <c r="C16" s="19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37"/>
      <c r="AC16" s="138"/>
    </row>
    <row r="17" spans="1:29" ht="24.75" customHeight="1">
      <c r="A17" s="92"/>
      <c r="B17" s="18"/>
      <c r="C17" s="19" t="s">
        <v>45</v>
      </c>
      <c r="D17" s="58">
        <v>3450</v>
      </c>
      <c r="E17" s="59"/>
      <c r="F17" s="58">
        <v>5650</v>
      </c>
      <c r="G17" s="59"/>
      <c r="H17" s="58">
        <v>3150</v>
      </c>
      <c r="I17" s="59"/>
      <c r="J17" s="58">
        <v>1000</v>
      </c>
      <c r="K17" s="59"/>
      <c r="L17" s="58">
        <v>14000</v>
      </c>
      <c r="M17" s="59"/>
      <c r="N17" s="58">
        <v>3400</v>
      </c>
      <c r="O17" s="59"/>
      <c r="P17" s="58">
        <v>4000</v>
      </c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37"/>
      <c r="AC17" s="138"/>
    </row>
    <row r="18" spans="1:29" ht="24.75" customHeight="1">
      <c r="A18" s="92"/>
      <c r="B18" s="94" t="s">
        <v>28</v>
      </c>
      <c r="C18" s="95"/>
      <c r="D18" s="58">
        <v>5775</v>
      </c>
      <c r="E18" s="59"/>
      <c r="F18" s="58">
        <v>6007</v>
      </c>
      <c r="G18" s="59"/>
      <c r="H18" s="58">
        <v>4717</v>
      </c>
      <c r="I18" s="59"/>
      <c r="J18" s="58">
        <v>6527</v>
      </c>
      <c r="K18" s="59"/>
      <c r="L18" s="58">
        <v>1520</v>
      </c>
      <c r="M18" s="59"/>
      <c r="N18" s="58">
        <v>4320</v>
      </c>
      <c r="O18" s="59"/>
      <c r="P18" s="58">
        <v>4992</v>
      </c>
      <c r="Q18" s="59"/>
      <c r="R18" s="58">
        <v>5440</v>
      </c>
      <c r="S18" s="59"/>
      <c r="T18" s="58">
        <v>7312</v>
      </c>
      <c r="U18" s="59"/>
      <c r="V18" s="58">
        <v>2624</v>
      </c>
      <c r="W18" s="59"/>
      <c r="X18" s="58">
        <v>3656</v>
      </c>
      <c r="Y18" s="59"/>
      <c r="Z18" s="58">
        <v>2832</v>
      </c>
      <c r="AA18" s="59"/>
      <c r="AB18" s="137"/>
      <c r="AC18" s="138"/>
    </row>
    <row r="19" spans="1:29" ht="24.75" customHeight="1">
      <c r="A19" s="92"/>
      <c r="B19" s="94" t="s">
        <v>29</v>
      </c>
      <c r="C19" s="95"/>
      <c r="D19" s="58">
        <v>2600</v>
      </c>
      <c r="E19" s="59"/>
      <c r="F19" s="58">
        <v>4200</v>
      </c>
      <c r="G19" s="59"/>
      <c r="H19" s="58">
        <v>2200</v>
      </c>
      <c r="I19" s="59"/>
      <c r="J19" s="58">
        <v>800</v>
      </c>
      <c r="K19" s="59"/>
      <c r="L19" s="58"/>
      <c r="M19" s="59"/>
      <c r="N19" s="58"/>
      <c r="O19" s="59"/>
      <c r="P19" s="58">
        <v>900</v>
      </c>
      <c r="Q19" s="59"/>
      <c r="R19" s="58">
        <v>4950</v>
      </c>
      <c r="S19" s="59"/>
      <c r="T19" s="58">
        <v>1350</v>
      </c>
      <c r="U19" s="59"/>
      <c r="V19" s="58">
        <v>1350</v>
      </c>
      <c r="W19" s="59"/>
      <c r="X19" s="58">
        <v>3600</v>
      </c>
      <c r="Y19" s="59"/>
      <c r="Z19" s="58">
        <v>3150</v>
      </c>
      <c r="AA19" s="59"/>
      <c r="AB19" s="137"/>
      <c r="AC19" s="138"/>
    </row>
    <row r="20" spans="1:29" ht="24.75" customHeight="1" thickBot="1">
      <c r="A20" s="93"/>
      <c r="B20" s="52" t="s">
        <v>30</v>
      </c>
      <c r="C20" s="48"/>
      <c r="D20" s="85"/>
      <c r="E20" s="86"/>
      <c r="F20" s="85">
        <v>2000</v>
      </c>
      <c r="G20" s="86"/>
      <c r="H20" s="85">
        <v>4000</v>
      </c>
      <c r="I20" s="86"/>
      <c r="J20" s="85"/>
      <c r="K20" s="86"/>
      <c r="L20" s="85">
        <v>30000</v>
      </c>
      <c r="M20" s="86"/>
      <c r="N20" s="85"/>
      <c r="O20" s="86"/>
      <c r="P20" s="85"/>
      <c r="Q20" s="86"/>
      <c r="R20" s="85"/>
      <c r="S20" s="86"/>
      <c r="T20" s="85">
        <v>20000</v>
      </c>
      <c r="U20" s="86"/>
      <c r="V20" s="85"/>
      <c r="W20" s="86"/>
      <c r="X20" s="85"/>
      <c r="Y20" s="86"/>
      <c r="Z20" s="85"/>
      <c r="AA20" s="86"/>
      <c r="AB20" s="139"/>
      <c r="AC20" s="140"/>
    </row>
    <row r="21" spans="1:29" ht="24.75" customHeight="1" thickTop="1">
      <c r="A21" s="71" t="s">
        <v>31</v>
      </c>
      <c r="B21" s="72"/>
      <c r="C21" s="73"/>
      <c r="D21" s="74">
        <f>INT(D7*D11+D8*D13+D10*D12+D15+D16+D17+D18+D19+D20+D9*D12)</f>
        <v>222778</v>
      </c>
      <c r="E21" s="75"/>
      <c r="F21" s="74">
        <f>INT(F7*F11+F8*F13+F10*F12+F15+F16+F17+F18+F19+F9*F12+F20)</f>
        <v>203829</v>
      </c>
      <c r="G21" s="75"/>
      <c r="H21" s="74">
        <f>INT(H7*H11+H8*H13+H10*H12+H15+H16+H17+H18+H19+H20+H9*H12)</f>
        <v>169538</v>
      </c>
      <c r="I21" s="75"/>
      <c r="J21" s="74">
        <f t="shared" ref="J21" si="0">INT(J7*J11+J8*J13+J10*J12+J15+J16+J17+J18+J19+J20)</f>
        <v>163127</v>
      </c>
      <c r="K21" s="75"/>
      <c r="L21" s="74">
        <f t="shared" ref="L21" si="1">INT(L7*L11+L8*L13+L10*L12+L15+L16+L17+L18+L19+L20)</f>
        <v>122020</v>
      </c>
      <c r="M21" s="75"/>
      <c r="N21" s="74">
        <f t="shared" ref="N21" si="2">INT(N7*N11+N8*N13+N10*N12+N15+N16+N17+N18+N19+N20)</f>
        <v>126720</v>
      </c>
      <c r="O21" s="75"/>
      <c r="P21" s="74">
        <f t="shared" ref="P21" si="3">INT(P7*P11+P8*P13+P10*P12+P15+P16+P17+P18+P19+P20)</f>
        <v>183892</v>
      </c>
      <c r="Q21" s="75"/>
      <c r="R21" s="74">
        <f>INT(R7*R11+R8*R13+R9*R12+R15+R16+R17+R18+R19+R20+R10*R14)</f>
        <v>204326</v>
      </c>
      <c r="S21" s="75"/>
      <c r="T21" s="74">
        <f>INT(T7*T11+T8*T13+T9*T12+T15+T16+T17+T18+T19+T20+T10*T14)</f>
        <v>229548</v>
      </c>
      <c r="U21" s="75"/>
      <c r="V21" s="74">
        <f>INT(V7*V11+V8*V13+V9*V12+V15+V16+V17+V18+V19+V20)</f>
        <v>134474</v>
      </c>
      <c r="W21" s="75"/>
      <c r="X21" s="74">
        <f>INT(X7*X11+X8*X13+X9*X12+X15+X16+X17+X18+X19+X20+X10*X14)</f>
        <v>180899</v>
      </c>
      <c r="Y21" s="75"/>
      <c r="Z21" s="74">
        <f>INT(Z7*Z11+Z8*Z13+Z9*Z12+Z15+Z16+Z17+Z18+Z19+Z20)</f>
        <v>174532</v>
      </c>
      <c r="AA21" s="75"/>
      <c r="AB21" s="141">
        <f>D21+F21+H21+J21+L21+N21</f>
        <v>1008012</v>
      </c>
      <c r="AC21" s="142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45"/>
      <c r="AC22" s="146"/>
    </row>
    <row r="23" spans="1:29" ht="24.75" customHeight="1" thickBot="1">
      <c r="A23" s="117" t="s">
        <v>20</v>
      </c>
      <c r="B23" s="118"/>
      <c r="C23" s="119"/>
      <c r="D23" s="105">
        <f>D21</f>
        <v>222778</v>
      </c>
      <c r="E23" s="106"/>
      <c r="F23" s="105">
        <f t="shared" ref="F23" si="4">F21+F22</f>
        <v>203829</v>
      </c>
      <c r="G23" s="106"/>
      <c r="H23" s="105">
        <f t="shared" ref="H23" si="5">H21+H22</f>
        <v>169538</v>
      </c>
      <c r="I23" s="106"/>
      <c r="J23" s="105">
        <f t="shared" ref="J23" si="6">J21+J22</f>
        <v>163127</v>
      </c>
      <c r="K23" s="106"/>
      <c r="L23" s="105">
        <f t="shared" ref="L23" si="7">L21+L22</f>
        <v>122020</v>
      </c>
      <c r="M23" s="106"/>
      <c r="N23" s="105">
        <f t="shared" ref="N23" si="8">N21+N22</f>
        <v>126720</v>
      </c>
      <c r="O23" s="106"/>
      <c r="P23" s="105">
        <f t="shared" ref="P23" si="9">P21+P22</f>
        <v>183892</v>
      </c>
      <c r="Q23" s="106"/>
      <c r="R23" s="105">
        <f t="shared" ref="R23" si="10">R21+R22</f>
        <v>204326</v>
      </c>
      <c r="S23" s="106"/>
      <c r="T23" s="105">
        <f t="shared" ref="T23" si="11">T21+T22</f>
        <v>229548</v>
      </c>
      <c r="U23" s="106"/>
      <c r="V23" s="105">
        <f t="shared" ref="V23" si="12">V21+V22</f>
        <v>134474</v>
      </c>
      <c r="W23" s="106"/>
      <c r="X23" s="105">
        <f t="shared" ref="X23" si="13">X21+X22</f>
        <v>180899</v>
      </c>
      <c r="Y23" s="106"/>
      <c r="Z23" s="105">
        <f t="shared" ref="Z23" si="14">Z21+Z22</f>
        <v>174532</v>
      </c>
      <c r="AA23" s="106"/>
      <c r="AB23" s="147">
        <f>D23+F23+H23+J23+L23+N23</f>
        <v>1008012</v>
      </c>
      <c r="AC23" s="148"/>
    </row>
    <row r="24" spans="1:29" ht="24.75" customHeight="1">
      <c r="A24" s="109" t="s">
        <v>33</v>
      </c>
      <c r="B24" s="113" t="s">
        <v>34</v>
      </c>
      <c r="C24" s="114"/>
      <c r="D24" s="115">
        <f>D23*0.003</f>
        <v>668.33400000000006</v>
      </c>
      <c r="E24" s="116"/>
      <c r="F24" s="115">
        <f t="shared" ref="F24" si="15">F23*0.003</f>
        <v>611.48699999999997</v>
      </c>
      <c r="G24" s="116"/>
      <c r="H24" s="115">
        <f t="shared" ref="H24" si="16">H23*0.003</f>
        <v>508.61400000000003</v>
      </c>
      <c r="I24" s="116"/>
      <c r="J24" s="115">
        <f>J23*0.003</f>
        <v>489.38100000000003</v>
      </c>
      <c r="K24" s="116"/>
      <c r="L24" s="115">
        <f t="shared" ref="L24" si="17">L23*0.003</f>
        <v>366.06</v>
      </c>
      <c r="M24" s="116"/>
      <c r="N24" s="115">
        <f t="shared" ref="N24" si="18">N23*0.003</f>
        <v>380.16</v>
      </c>
      <c r="O24" s="116"/>
      <c r="P24" s="115">
        <f t="shared" ref="P24" si="19">P23*0.003</f>
        <v>551.67600000000004</v>
      </c>
      <c r="Q24" s="116"/>
      <c r="R24" s="115">
        <f t="shared" ref="R24" si="20">R23*0.003</f>
        <v>612.97800000000007</v>
      </c>
      <c r="S24" s="116"/>
      <c r="T24" s="115">
        <f t="shared" ref="T24" si="21">T23*0.003</f>
        <v>688.64400000000001</v>
      </c>
      <c r="U24" s="116"/>
      <c r="V24" s="115">
        <f t="shared" ref="V24" si="22">V23*0.003</f>
        <v>403.42200000000003</v>
      </c>
      <c r="W24" s="116"/>
      <c r="X24" s="115">
        <f t="shared" ref="X24" si="23">X23*0.003</f>
        <v>542.697</v>
      </c>
      <c r="Y24" s="116"/>
      <c r="Z24" s="115">
        <f t="shared" ref="Z24" si="24">Z23*0.003</f>
        <v>523.596</v>
      </c>
      <c r="AA24" s="116"/>
      <c r="AB24" s="150"/>
      <c r="AC24" s="151"/>
    </row>
    <row r="25" spans="1:29" ht="24.75" customHeight="1">
      <c r="A25" s="110"/>
      <c r="B25" s="94" t="s">
        <v>35</v>
      </c>
      <c r="C25" s="95"/>
      <c r="D25" s="58">
        <v>5560</v>
      </c>
      <c r="E25" s="59"/>
      <c r="F25" s="58">
        <v>4980</v>
      </c>
      <c r="G25" s="59"/>
      <c r="H25" s="58">
        <v>3620</v>
      </c>
      <c r="I25" s="59"/>
      <c r="J25" s="58">
        <v>3550</v>
      </c>
      <c r="K25" s="59"/>
      <c r="L25" s="58">
        <v>2680</v>
      </c>
      <c r="M25" s="59"/>
      <c r="N25" s="58">
        <v>2250</v>
      </c>
      <c r="O25" s="59"/>
      <c r="P25" s="58">
        <v>4200</v>
      </c>
      <c r="Q25" s="59"/>
      <c r="R25" s="58">
        <v>4770</v>
      </c>
      <c r="S25" s="59"/>
      <c r="T25" s="58">
        <v>6000</v>
      </c>
      <c r="U25" s="59"/>
      <c r="V25" s="58">
        <v>2800</v>
      </c>
      <c r="W25" s="59"/>
      <c r="X25" s="58">
        <v>4120</v>
      </c>
      <c r="Y25" s="59"/>
      <c r="Z25" s="58">
        <v>3910</v>
      </c>
      <c r="AA25" s="59"/>
      <c r="AB25" s="137"/>
      <c r="AC25" s="138"/>
    </row>
    <row r="26" spans="1:29" ht="24.75" customHeight="1">
      <c r="A26" s="110"/>
      <c r="B26" s="94" t="s">
        <v>47</v>
      </c>
      <c r="C26" s="95"/>
      <c r="D26" s="58">
        <v>11800</v>
      </c>
      <c r="E26" s="59"/>
      <c r="F26" s="58">
        <v>11800</v>
      </c>
      <c r="G26" s="59"/>
      <c r="H26" s="58">
        <v>9300</v>
      </c>
      <c r="I26" s="59"/>
      <c r="J26" s="58">
        <v>9000</v>
      </c>
      <c r="K26" s="59"/>
      <c r="L26" s="58">
        <v>0</v>
      </c>
      <c r="M26" s="59"/>
      <c r="N26" s="58">
        <v>0</v>
      </c>
      <c r="O26" s="59"/>
      <c r="P26" s="58">
        <v>0</v>
      </c>
      <c r="Q26" s="59"/>
      <c r="R26" s="58">
        <v>0</v>
      </c>
      <c r="S26" s="59"/>
      <c r="T26" s="58">
        <v>0</v>
      </c>
      <c r="U26" s="59"/>
      <c r="V26" s="58">
        <v>0</v>
      </c>
      <c r="W26" s="59"/>
      <c r="X26" s="58">
        <v>0</v>
      </c>
      <c r="Y26" s="59"/>
      <c r="Z26" s="58">
        <v>0</v>
      </c>
      <c r="AA26" s="59"/>
      <c r="AB26" s="137"/>
      <c r="AC26" s="138"/>
    </row>
    <row r="27" spans="1:29" ht="24.75" customHeight="1">
      <c r="A27" s="111"/>
      <c r="B27" s="94" t="s">
        <v>48</v>
      </c>
      <c r="C27" s="95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  <c r="R27" s="83"/>
      <c r="S27" s="84"/>
      <c r="T27" s="83"/>
      <c r="U27" s="84"/>
      <c r="V27" s="83">
        <v>18944</v>
      </c>
      <c r="W27" s="84"/>
      <c r="X27" s="83">
        <v>18944</v>
      </c>
      <c r="Y27" s="84"/>
      <c r="Z27" s="83">
        <v>18944</v>
      </c>
      <c r="AA27" s="84"/>
      <c r="AB27" s="141"/>
      <c r="AC27" s="142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>
        <v>30000</v>
      </c>
      <c r="M28" s="102"/>
      <c r="N28" s="101"/>
      <c r="O28" s="102"/>
      <c r="P28" s="101"/>
      <c r="Q28" s="102"/>
      <c r="R28" s="101"/>
      <c r="S28" s="102"/>
      <c r="T28" s="101">
        <v>20000</v>
      </c>
      <c r="U28" s="102"/>
      <c r="V28" s="101"/>
      <c r="W28" s="102"/>
      <c r="X28" s="101"/>
      <c r="Y28" s="102"/>
      <c r="Z28" s="101"/>
      <c r="AA28" s="102"/>
      <c r="AB28" s="152"/>
      <c r="AC28" s="153"/>
    </row>
    <row r="29" spans="1:29" ht="24.75" customHeight="1" thickBot="1">
      <c r="A29" s="71" t="s">
        <v>36</v>
      </c>
      <c r="B29" s="72"/>
      <c r="C29" s="73"/>
      <c r="D29" s="83">
        <f>SUM(D24:D28)</f>
        <v>18028.333999999999</v>
      </c>
      <c r="E29" s="84"/>
      <c r="F29" s="83">
        <f t="shared" ref="F29" si="25">SUM(F24:F28)</f>
        <v>17391.487000000001</v>
      </c>
      <c r="G29" s="84"/>
      <c r="H29" s="83">
        <f t="shared" ref="H29" si="26">SUM(H24:H28)</f>
        <v>13428.614</v>
      </c>
      <c r="I29" s="84"/>
      <c r="J29" s="83">
        <f t="shared" ref="J29" si="27">SUM(J24:J28)</f>
        <v>13039.380999999999</v>
      </c>
      <c r="K29" s="84"/>
      <c r="L29" s="83">
        <f t="shared" ref="L29" si="28">SUM(L24:L28)</f>
        <v>33046.06</v>
      </c>
      <c r="M29" s="84"/>
      <c r="N29" s="83">
        <f t="shared" ref="N29" si="29">SUM(N24:N28)</f>
        <v>2630.16</v>
      </c>
      <c r="O29" s="84"/>
      <c r="P29" s="83">
        <f t="shared" ref="P29" si="30">SUM(P24:P28)</f>
        <v>4751.6760000000004</v>
      </c>
      <c r="Q29" s="84"/>
      <c r="R29" s="83">
        <f t="shared" ref="R29" si="31">SUM(R24:R28)</f>
        <v>5382.9780000000001</v>
      </c>
      <c r="S29" s="84"/>
      <c r="T29" s="83">
        <f t="shared" ref="T29" si="32">SUM(T24:T28)</f>
        <v>26688.644</v>
      </c>
      <c r="U29" s="84"/>
      <c r="V29" s="83">
        <f t="shared" ref="V29" si="33">SUM(V24:V28)</f>
        <v>22147.421999999999</v>
      </c>
      <c r="W29" s="84"/>
      <c r="X29" s="83">
        <f t="shared" ref="X29" si="34">SUM(X24:X28)</f>
        <v>23606.697</v>
      </c>
      <c r="Y29" s="84"/>
      <c r="Z29" s="83">
        <f t="shared" ref="Z29" si="35">SUM(Z24:Z28)</f>
        <v>23377.595999999998</v>
      </c>
      <c r="AA29" s="131"/>
      <c r="AB29" s="141">
        <f t="shared" ref="AB29" si="36">SUM(AB24:AB28)</f>
        <v>0</v>
      </c>
      <c r="AC29" s="142"/>
    </row>
    <row r="30" spans="1:29" ht="24.75" customHeight="1" thickTop="1" thickBot="1">
      <c r="A30" s="132" t="s">
        <v>37</v>
      </c>
      <c r="B30" s="133"/>
      <c r="C30" s="134"/>
      <c r="D30" s="126">
        <f>D23-D29</f>
        <v>204749.666</v>
      </c>
      <c r="E30" s="127"/>
      <c r="F30" s="126">
        <f>F23-F29</f>
        <v>186437.51300000001</v>
      </c>
      <c r="G30" s="127"/>
      <c r="H30" s="126">
        <f>H23-H29</f>
        <v>156109.386</v>
      </c>
      <c r="I30" s="127"/>
      <c r="J30" s="126">
        <f>J23-J29</f>
        <v>150087.61900000001</v>
      </c>
      <c r="K30" s="127"/>
      <c r="L30" s="126">
        <f>L23-L29</f>
        <v>88973.94</v>
      </c>
      <c r="M30" s="127"/>
      <c r="N30" s="126">
        <f>N23-N29</f>
        <v>124089.84</v>
      </c>
      <c r="O30" s="127"/>
      <c r="P30" s="126">
        <f>P23-P29</f>
        <v>179140.32399999999</v>
      </c>
      <c r="Q30" s="127"/>
      <c r="R30" s="126">
        <f>R23-R29</f>
        <v>198943.022</v>
      </c>
      <c r="S30" s="127"/>
      <c r="T30" s="126">
        <f>T23-T29</f>
        <v>202859.356</v>
      </c>
      <c r="U30" s="127"/>
      <c r="V30" s="126">
        <f>V23-V29</f>
        <v>112326.57800000001</v>
      </c>
      <c r="W30" s="127"/>
      <c r="X30" s="126">
        <f>X21-X29</f>
        <v>157292.30300000001</v>
      </c>
      <c r="Y30" s="127"/>
      <c r="Z30" s="126">
        <f>Z23-Z29</f>
        <v>151154.40400000001</v>
      </c>
      <c r="AA30" s="128"/>
      <c r="AB30" s="155">
        <f>D30+F30+H30+J30+L30+N30</f>
        <v>910447.9639999998</v>
      </c>
      <c r="AC30" s="15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561BB-231F-4AA7-82C2-90ACB9EE8FDC}">
  <sheetPr>
    <tabColor theme="5"/>
  </sheetPr>
  <dimension ref="A1:AC30"/>
  <sheetViews>
    <sheetView topLeftCell="A3" workbookViewId="0">
      <selection activeCell="Z16" sqref="Z16:AA16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95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176" t="s">
        <v>20</v>
      </c>
      <c r="AC6" s="177"/>
    </row>
    <row r="7" spans="1:29" ht="24.75" customHeight="1">
      <c r="A7" s="65" t="s">
        <v>40</v>
      </c>
      <c r="B7" s="66"/>
      <c r="C7" s="67"/>
      <c r="D7" s="3"/>
      <c r="E7" s="4" t="s">
        <v>21</v>
      </c>
      <c r="F7" s="3">
        <v>14</v>
      </c>
      <c r="G7" s="4" t="s">
        <v>21</v>
      </c>
      <c r="H7" s="3">
        <v>17</v>
      </c>
      <c r="I7" s="4" t="s">
        <v>21</v>
      </c>
      <c r="J7" s="3">
        <v>15</v>
      </c>
      <c r="K7" s="4" t="s">
        <v>21</v>
      </c>
      <c r="L7" s="3">
        <v>4</v>
      </c>
      <c r="M7" s="4" t="s">
        <v>21</v>
      </c>
      <c r="N7" s="3">
        <v>0</v>
      </c>
      <c r="O7" s="4" t="s">
        <v>21</v>
      </c>
      <c r="P7" s="3">
        <v>5</v>
      </c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>
        <v>7</v>
      </c>
      <c r="Y7" s="4" t="s">
        <v>21</v>
      </c>
      <c r="Z7" s="3"/>
      <c r="AA7" s="4" t="s">
        <v>21</v>
      </c>
      <c r="AB7" s="30"/>
      <c r="AC7" s="31" t="s">
        <v>21</v>
      </c>
    </row>
    <row r="8" spans="1:29" ht="24.75" customHeight="1">
      <c r="A8" s="65" t="s">
        <v>41</v>
      </c>
      <c r="B8" s="66"/>
      <c r="C8" s="67"/>
      <c r="D8" s="3">
        <v>10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6</v>
      </c>
      <c r="S8" s="4" t="s">
        <v>21</v>
      </c>
      <c r="T8" s="3">
        <v>7</v>
      </c>
      <c r="U8" s="4" t="s">
        <v>21</v>
      </c>
      <c r="V8" s="3">
        <v>6</v>
      </c>
      <c r="W8" s="4" t="s">
        <v>21</v>
      </c>
      <c r="X8" s="3">
        <v>2</v>
      </c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>
        <v>1.5</v>
      </c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80" t="s">
        <v>69</v>
      </c>
      <c r="B10" s="81"/>
      <c r="C10" s="82"/>
      <c r="D10" s="3">
        <v>30</v>
      </c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71" t="s">
        <v>26</v>
      </c>
      <c r="B11" s="72"/>
      <c r="C11" s="73"/>
      <c r="D11" s="159">
        <v>8000</v>
      </c>
      <c r="E11" s="75"/>
      <c r="F11" s="74">
        <v>8000</v>
      </c>
      <c r="G11" s="75"/>
      <c r="H11" s="74">
        <v>8000</v>
      </c>
      <c r="I11" s="75"/>
      <c r="J11" s="74">
        <v>8000</v>
      </c>
      <c r="K11" s="75"/>
      <c r="L11" s="74">
        <v>8000</v>
      </c>
      <c r="M11" s="75"/>
      <c r="N11" s="74">
        <v>8000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/>
      <c r="AA11" s="75"/>
      <c r="AB11" s="135"/>
      <c r="AC11" s="136"/>
    </row>
    <row r="12" spans="1:29" ht="24.75" customHeight="1">
      <c r="A12" s="65" t="s">
        <v>49</v>
      </c>
      <c r="B12" s="66"/>
      <c r="C12" s="67"/>
      <c r="D12" s="149">
        <v>1250</v>
      </c>
      <c r="E12" s="59"/>
      <c r="F12" s="149">
        <v>1250</v>
      </c>
      <c r="G12" s="59"/>
      <c r="H12" s="149">
        <v>1250</v>
      </c>
      <c r="I12" s="59"/>
      <c r="J12" s="149">
        <v>1250</v>
      </c>
      <c r="K12" s="59"/>
      <c r="L12" s="149">
        <v>1250</v>
      </c>
      <c r="M12" s="59"/>
      <c r="N12" s="149">
        <v>1250</v>
      </c>
      <c r="O12" s="59"/>
      <c r="P12" s="149">
        <v>1250</v>
      </c>
      <c r="Q12" s="59"/>
      <c r="R12" s="149">
        <v>1250</v>
      </c>
      <c r="S12" s="59"/>
      <c r="T12" s="149">
        <v>1250</v>
      </c>
      <c r="U12" s="59"/>
      <c r="V12" s="149">
        <v>1250</v>
      </c>
      <c r="W12" s="59"/>
      <c r="X12" s="149">
        <v>1250</v>
      </c>
      <c r="Y12" s="59"/>
      <c r="Z12" s="149"/>
      <c r="AA12" s="59"/>
      <c r="AB12" s="137"/>
      <c r="AC12" s="138"/>
    </row>
    <row r="13" spans="1:29" ht="24.75" customHeight="1">
      <c r="A13" s="89" t="s">
        <v>96</v>
      </c>
      <c r="B13" s="90"/>
      <c r="C13" s="66"/>
      <c r="D13" s="149">
        <v>10000</v>
      </c>
      <c r="E13" s="59"/>
      <c r="F13" s="58">
        <v>10000</v>
      </c>
      <c r="G13" s="59"/>
      <c r="H13" s="58">
        <v>10000</v>
      </c>
      <c r="I13" s="59"/>
      <c r="J13" s="58">
        <v>10000</v>
      </c>
      <c r="K13" s="59"/>
      <c r="L13" s="58">
        <v>10000</v>
      </c>
      <c r="M13" s="59"/>
      <c r="N13" s="58">
        <v>10000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/>
      <c r="AA13" s="59"/>
      <c r="AB13" s="137"/>
      <c r="AC13" s="138"/>
    </row>
    <row r="14" spans="1:29" ht="24.75" customHeight="1" thickBot="1">
      <c r="A14" s="80" t="s">
        <v>50</v>
      </c>
      <c r="B14" s="81"/>
      <c r="C14" s="82"/>
      <c r="D14" s="168">
        <v>1562</v>
      </c>
      <c r="E14" s="86"/>
      <c r="F14" s="85">
        <v>1562</v>
      </c>
      <c r="G14" s="86"/>
      <c r="H14" s="85">
        <v>1562</v>
      </c>
      <c r="I14" s="86"/>
      <c r="J14" s="85">
        <v>1562</v>
      </c>
      <c r="K14" s="86"/>
      <c r="L14" s="85">
        <v>1562</v>
      </c>
      <c r="M14" s="86"/>
      <c r="N14" s="85">
        <v>1562</v>
      </c>
      <c r="O14" s="86"/>
      <c r="P14" s="85">
        <v>1562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/>
      <c r="AA14" s="86"/>
      <c r="AB14" s="139"/>
      <c r="AC14" s="140"/>
    </row>
    <row r="15" spans="1:29" ht="24.75" customHeight="1" thickTop="1">
      <c r="A15" s="91" t="s">
        <v>42</v>
      </c>
      <c r="B15" s="20" t="s">
        <v>108</v>
      </c>
      <c r="C15" s="22" t="s">
        <v>43</v>
      </c>
      <c r="D15" s="74">
        <v>6000</v>
      </c>
      <c r="E15" s="75"/>
      <c r="F15" s="74">
        <v>7000</v>
      </c>
      <c r="G15" s="75"/>
      <c r="H15" s="74">
        <v>8500</v>
      </c>
      <c r="I15" s="75"/>
      <c r="J15" s="74">
        <v>7500</v>
      </c>
      <c r="K15" s="75"/>
      <c r="L15" s="74">
        <v>2000</v>
      </c>
      <c r="M15" s="75"/>
      <c r="N15" s="74"/>
      <c r="O15" s="75"/>
      <c r="P15" s="74">
        <v>2500</v>
      </c>
      <c r="Q15" s="75"/>
      <c r="R15" s="74">
        <v>3000</v>
      </c>
      <c r="S15" s="75"/>
      <c r="T15" s="74">
        <v>3500</v>
      </c>
      <c r="U15" s="75"/>
      <c r="V15" s="74">
        <v>3000</v>
      </c>
      <c r="W15" s="75"/>
      <c r="X15" s="74">
        <v>4500</v>
      </c>
      <c r="Y15" s="75"/>
      <c r="Z15" s="74"/>
      <c r="AA15" s="75"/>
      <c r="AB15" s="135"/>
      <c r="AC15" s="136"/>
    </row>
    <row r="16" spans="1:29" ht="24.75" customHeight="1">
      <c r="A16" s="92"/>
      <c r="B16" s="18"/>
      <c r="C16" s="19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37"/>
      <c r="AC16" s="138"/>
    </row>
    <row r="17" spans="1:29" ht="24.75" customHeight="1">
      <c r="A17" s="92"/>
      <c r="B17" s="18"/>
      <c r="C17" s="19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37"/>
      <c r="AC17" s="138"/>
    </row>
    <row r="18" spans="1:29" ht="24.75" customHeight="1">
      <c r="A18" s="92"/>
      <c r="B18" s="94" t="s">
        <v>28</v>
      </c>
      <c r="C18" s="95"/>
      <c r="D18" s="58">
        <v>4657</v>
      </c>
      <c r="E18" s="59"/>
      <c r="F18" s="58">
        <v>2331</v>
      </c>
      <c r="G18" s="59"/>
      <c r="H18" s="58">
        <v>1967</v>
      </c>
      <c r="I18" s="59"/>
      <c r="J18" s="58">
        <v>0</v>
      </c>
      <c r="K18" s="59"/>
      <c r="L18" s="58">
        <v>160</v>
      </c>
      <c r="M18" s="59"/>
      <c r="N18" s="58"/>
      <c r="O18" s="59"/>
      <c r="P18" s="58"/>
      <c r="Q18" s="59"/>
      <c r="R18" s="58">
        <v>5000</v>
      </c>
      <c r="S18" s="59"/>
      <c r="T18" s="58">
        <v>5480</v>
      </c>
      <c r="U18" s="59"/>
      <c r="V18" s="58">
        <v>5000</v>
      </c>
      <c r="W18" s="59"/>
      <c r="X18" s="58">
        <v>5000</v>
      </c>
      <c r="Y18" s="59"/>
      <c r="Z18" s="58"/>
      <c r="AA18" s="59"/>
      <c r="AB18" s="137"/>
      <c r="AC18" s="138"/>
    </row>
    <row r="19" spans="1:29" ht="24.75" customHeight="1">
      <c r="A19" s="92"/>
      <c r="B19" s="94" t="s">
        <v>29</v>
      </c>
      <c r="C19" s="95"/>
      <c r="D19" s="58"/>
      <c r="E19" s="59"/>
      <c r="F19" s="58">
        <v>1200</v>
      </c>
      <c r="G19" s="59"/>
      <c r="H19" s="58">
        <v>3200</v>
      </c>
      <c r="I19" s="59"/>
      <c r="J19" s="58">
        <v>1400</v>
      </c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37"/>
      <c r="AC19" s="138"/>
    </row>
    <row r="20" spans="1:29" ht="24.75" customHeight="1" thickBot="1">
      <c r="A20" s="93"/>
      <c r="B20" s="52" t="s">
        <v>30</v>
      </c>
      <c r="C20" s="48"/>
      <c r="D20" s="85">
        <v>36718</v>
      </c>
      <c r="E20" s="86"/>
      <c r="F20" s="85">
        <v>2500</v>
      </c>
      <c r="G20" s="86"/>
      <c r="H20" s="85">
        <v>4000</v>
      </c>
      <c r="I20" s="86"/>
      <c r="J20" s="85">
        <v>1750</v>
      </c>
      <c r="K20" s="86"/>
      <c r="L20" s="85"/>
      <c r="M20" s="86"/>
      <c r="N20" s="85"/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139"/>
      <c r="AC20" s="140"/>
    </row>
    <row r="21" spans="1:29" ht="24.75" customHeight="1" thickTop="1">
      <c r="A21" s="71" t="s">
        <v>31</v>
      </c>
      <c r="B21" s="72"/>
      <c r="C21" s="73"/>
      <c r="D21" s="74">
        <f>INT(D7*D11+D9*D12+D8*D13+D10*D14+D17+D18+D20+D15)</f>
        <v>194235</v>
      </c>
      <c r="E21" s="75"/>
      <c r="F21" s="74">
        <f>INT(F7*F11+F8*F13+F10*F12+F15+F16+F17+F18+F19+F9*F12+F20)</f>
        <v>125031</v>
      </c>
      <c r="G21" s="75"/>
      <c r="H21" s="74">
        <f>INT(H7*H11+H8*H13+H10*H12+H15+H16+H17+H18+H19+H20+H9*H12)</f>
        <v>153667</v>
      </c>
      <c r="I21" s="75"/>
      <c r="J21" s="74">
        <f>INT(J7*J11+J9*J12+J17+J19+J20+J15)</f>
        <v>132525</v>
      </c>
      <c r="K21" s="75"/>
      <c r="L21" s="74">
        <f t="shared" ref="L21" si="0">INT(L7*L11+L8*L13+L10*L12+L15+L16+L17+L18+L19+L20)</f>
        <v>34160</v>
      </c>
      <c r="M21" s="75"/>
      <c r="N21" s="74">
        <f t="shared" ref="N21" si="1">INT(N7*N11+N8*N13+N10*N12+N15+N16+N17+N18+N19+N20)</f>
        <v>0</v>
      </c>
      <c r="O21" s="75"/>
      <c r="P21" s="74">
        <f t="shared" ref="P21" si="2">INT(P7*P11+P8*P13+P10*P12+P15+P16+P17+P18+P19+P20)</f>
        <v>42500</v>
      </c>
      <c r="Q21" s="75"/>
      <c r="R21" s="74">
        <f t="shared" ref="R21" si="3">INT(R7*R11+R8*R13+R10*R12+R15+R16+R17+R18+R19+R20)</f>
        <v>68000</v>
      </c>
      <c r="S21" s="75"/>
      <c r="T21" s="74">
        <f t="shared" ref="T21" si="4">INT(T7*T11+T8*T13+T10*T12+T15+T16+T17+T18+T19+T20)</f>
        <v>78980</v>
      </c>
      <c r="U21" s="75"/>
      <c r="V21" s="74">
        <f t="shared" ref="V21" si="5">INT(V7*V11+V8*V13+V10*V12+V15+V16+V17+V18+V19+V20)</f>
        <v>68000</v>
      </c>
      <c r="W21" s="75"/>
      <c r="X21" s="74">
        <f t="shared" ref="X21" si="6">INT(X7*X11+X8*X13+X10*X12+X15+X16+X17+X18+X19+X20)</f>
        <v>85500</v>
      </c>
      <c r="Y21" s="75"/>
      <c r="Z21" s="74">
        <f t="shared" ref="Z21" si="7">INT(Z7*Z11+Z8*Z13+Z10*Z12+Z15+Z16+Z17+Z18+Z19+Z20)</f>
        <v>0</v>
      </c>
      <c r="AA21" s="75"/>
      <c r="AB21" s="141">
        <f>D21+F21+H21+J21+L21+N21</f>
        <v>639618</v>
      </c>
      <c r="AC21" s="142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>
        <v>10000</v>
      </c>
      <c r="U22" s="102"/>
      <c r="V22" s="101"/>
      <c r="W22" s="102"/>
      <c r="X22" s="101"/>
      <c r="Y22" s="102"/>
      <c r="Z22" s="101"/>
      <c r="AA22" s="102"/>
      <c r="AB22" s="145"/>
      <c r="AC22" s="146"/>
    </row>
    <row r="23" spans="1:29" ht="24.75" customHeight="1" thickBot="1">
      <c r="A23" s="117" t="s">
        <v>20</v>
      </c>
      <c r="B23" s="118"/>
      <c r="C23" s="119"/>
      <c r="D23" s="105">
        <f>D21</f>
        <v>194235</v>
      </c>
      <c r="E23" s="106"/>
      <c r="F23" s="105">
        <f t="shared" ref="F23" si="8">F21+F22</f>
        <v>125031</v>
      </c>
      <c r="G23" s="106"/>
      <c r="H23" s="105">
        <f>H21+H22</f>
        <v>153667</v>
      </c>
      <c r="I23" s="106"/>
      <c r="J23" s="105">
        <f t="shared" ref="J23" si="9">J21+J22</f>
        <v>132525</v>
      </c>
      <c r="K23" s="106"/>
      <c r="L23" s="105">
        <f t="shared" ref="L23" si="10">L21+L22</f>
        <v>34160</v>
      </c>
      <c r="M23" s="106"/>
      <c r="N23" s="105">
        <f t="shared" ref="N23" si="11">N21+N22</f>
        <v>0</v>
      </c>
      <c r="O23" s="106"/>
      <c r="P23" s="105">
        <f t="shared" ref="P23" si="12">P21+P22</f>
        <v>42500</v>
      </c>
      <c r="Q23" s="106"/>
      <c r="R23" s="105">
        <f t="shared" ref="R23" si="13">R21+R22</f>
        <v>68000</v>
      </c>
      <c r="S23" s="106"/>
      <c r="T23" s="105">
        <f t="shared" ref="T23" si="14">T21+T22</f>
        <v>88980</v>
      </c>
      <c r="U23" s="106"/>
      <c r="V23" s="105">
        <f t="shared" ref="V23" si="15">V21+V22</f>
        <v>68000</v>
      </c>
      <c r="W23" s="106"/>
      <c r="X23" s="105">
        <f t="shared" ref="X23" si="16">X21+X22</f>
        <v>85500</v>
      </c>
      <c r="Y23" s="106"/>
      <c r="Z23" s="105">
        <f t="shared" ref="Z23" si="17">Z21+Z22</f>
        <v>0</v>
      </c>
      <c r="AA23" s="106"/>
      <c r="AB23" s="147">
        <f>D23+F23+H23+J23+L23+N23</f>
        <v>639618</v>
      </c>
      <c r="AC23" s="148"/>
    </row>
    <row r="24" spans="1:29" ht="24.75" customHeight="1">
      <c r="A24" s="109" t="s">
        <v>33</v>
      </c>
      <c r="B24" s="113" t="s">
        <v>34</v>
      </c>
      <c r="C24" s="114"/>
      <c r="D24" s="115">
        <v>0</v>
      </c>
      <c r="E24" s="116"/>
      <c r="F24" s="115">
        <v>0</v>
      </c>
      <c r="G24" s="116"/>
      <c r="H24" s="115">
        <v>0</v>
      </c>
      <c r="I24" s="116"/>
      <c r="J24" s="115">
        <v>0</v>
      </c>
      <c r="K24" s="116"/>
      <c r="L24" s="115">
        <v>0</v>
      </c>
      <c r="M24" s="116"/>
      <c r="N24" s="115">
        <f t="shared" ref="N24" si="18">N23*0.003</f>
        <v>0</v>
      </c>
      <c r="O24" s="116"/>
      <c r="P24" s="115">
        <v>0</v>
      </c>
      <c r="Q24" s="116"/>
      <c r="R24" s="115">
        <v>0</v>
      </c>
      <c r="S24" s="116"/>
      <c r="T24" s="115">
        <v>0</v>
      </c>
      <c r="U24" s="116"/>
      <c r="V24" s="115">
        <v>0</v>
      </c>
      <c r="W24" s="116"/>
      <c r="X24" s="115">
        <v>0</v>
      </c>
      <c r="Y24" s="116"/>
      <c r="Z24" s="115">
        <f t="shared" ref="Z24" si="19">Z23*0.003</f>
        <v>0</v>
      </c>
      <c r="AA24" s="116"/>
      <c r="AB24" s="150"/>
      <c r="AC24" s="151"/>
    </row>
    <row r="25" spans="1:29" ht="24.75" customHeight="1">
      <c r="A25" s="110"/>
      <c r="B25" s="94" t="s">
        <v>35</v>
      </c>
      <c r="C25" s="95"/>
      <c r="D25" s="58">
        <v>5030</v>
      </c>
      <c r="E25" s="59"/>
      <c r="F25" s="58">
        <v>2150</v>
      </c>
      <c r="G25" s="59"/>
      <c r="H25" s="58">
        <v>3270</v>
      </c>
      <c r="I25" s="59"/>
      <c r="J25" s="58">
        <v>2460</v>
      </c>
      <c r="K25" s="59"/>
      <c r="L25" s="58">
        <v>0</v>
      </c>
      <c r="M25" s="59"/>
      <c r="N25" s="58">
        <v>0</v>
      </c>
      <c r="O25" s="59"/>
      <c r="P25" s="58">
        <v>0</v>
      </c>
      <c r="Q25" s="59"/>
      <c r="R25" s="58">
        <v>0</v>
      </c>
      <c r="S25" s="59"/>
      <c r="T25" s="58">
        <v>0</v>
      </c>
      <c r="U25" s="59"/>
      <c r="V25" s="58">
        <v>0</v>
      </c>
      <c r="W25" s="59"/>
      <c r="X25" s="58">
        <v>0</v>
      </c>
      <c r="Y25" s="59"/>
      <c r="Z25" s="58"/>
      <c r="AA25" s="59"/>
      <c r="AB25" s="137"/>
      <c r="AC25" s="138"/>
    </row>
    <row r="26" spans="1:29" ht="24.75" customHeight="1">
      <c r="A26" s="110"/>
      <c r="B26" s="94" t="s">
        <v>47</v>
      </c>
      <c r="C26" s="95"/>
      <c r="D26" s="58">
        <v>0</v>
      </c>
      <c r="E26" s="59"/>
      <c r="F26" s="58">
        <v>0</v>
      </c>
      <c r="G26" s="59"/>
      <c r="H26" s="58">
        <v>0</v>
      </c>
      <c r="I26" s="59"/>
      <c r="J26" s="58">
        <v>0</v>
      </c>
      <c r="K26" s="59"/>
      <c r="L26" s="58">
        <v>0</v>
      </c>
      <c r="M26" s="59"/>
      <c r="N26" s="58">
        <v>0</v>
      </c>
      <c r="O26" s="59"/>
      <c r="P26" s="58">
        <v>0</v>
      </c>
      <c r="Q26" s="59"/>
      <c r="R26" s="58">
        <v>0</v>
      </c>
      <c r="S26" s="59"/>
      <c r="T26" s="58">
        <v>0</v>
      </c>
      <c r="U26" s="59"/>
      <c r="V26" s="58">
        <v>0</v>
      </c>
      <c r="W26" s="59"/>
      <c r="X26" s="58">
        <v>0</v>
      </c>
      <c r="Y26" s="59"/>
      <c r="Z26" s="58"/>
      <c r="AA26" s="59"/>
      <c r="AB26" s="137"/>
      <c r="AC26" s="138"/>
    </row>
    <row r="27" spans="1:29" ht="24.75" customHeight="1">
      <c r="A27" s="111"/>
      <c r="B27" s="94" t="s">
        <v>48</v>
      </c>
      <c r="C27" s="95"/>
      <c r="D27" s="83">
        <v>0</v>
      </c>
      <c r="E27" s="84"/>
      <c r="F27" s="83">
        <v>0</v>
      </c>
      <c r="G27" s="84"/>
      <c r="H27" s="83">
        <v>0</v>
      </c>
      <c r="I27" s="84"/>
      <c r="J27" s="83">
        <v>0</v>
      </c>
      <c r="K27" s="84"/>
      <c r="L27" s="83">
        <v>0</v>
      </c>
      <c r="M27" s="84"/>
      <c r="N27" s="83">
        <v>0</v>
      </c>
      <c r="O27" s="84"/>
      <c r="P27" s="83">
        <v>0</v>
      </c>
      <c r="Q27" s="84"/>
      <c r="R27" s="83">
        <v>0</v>
      </c>
      <c r="S27" s="84"/>
      <c r="T27" s="83">
        <v>0</v>
      </c>
      <c r="U27" s="84"/>
      <c r="V27" s="83">
        <v>0</v>
      </c>
      <c r="W27" s="84"/>
      <c r="X27" s="83">
        <v>0</v>
      </c>
      <c r="Y27" s="84"/>
      <c r="Z27" s="83"/>
      <c r="AA27" s="84"/>
      <c r="AB27" s="141"/>
      <c r="AC27" s="142"/>
    </row>
    <row r="28" spans="1:29" ht="24.75" customHeight="1" thickBot="1">
      <c r="A28" s="112"/>
      <c r="B28" s="124" t="s">
        <v>51</v>
      </c>
      <c r="C28" s="125"/>
      <c r="D28" s="101">
        <v>0</v>
      </c>
      <c r="E28" s="102"/>
      <c r="F28" s="101">
        <v>0</v>
      </c>
      <c r="G28" s="102"/>
      <c r="H28" s="101">
        <v>0</v>
      </c>
      <c r="I28" s="102"/>
      <c r="J28" s="101">
        <v>0</v>
      </c>
      <c r="K28" s="102"/>
      <c r="L28" s="101">
        <v>0</v>
      </c>
      <c r="M28" s="102"/>
      <c r="N28" s="101">
        <v>0</v>
      </c>
      <c r="O28" s="102"/>
      <c r="P28" s="101">
        <v>0</v>
      </c>
      <c r="Q28" s="102"/>
      <c r="R28" s="101">
        <v>0</v>
      </c>
      <c r="S28" s="102"/>
      <c r="T28" s="101">
        <v>10000</v>
      </c>
      <c r="U28" s="102"/>
      <c r="V28" s="101">
        <v>0</v>
      </c>
      <c r="W28" s="102"/>
      <c r="X28" s="101">
        <v>0</v>
      </c>
      <c r="Y28" s="102"/>
      <c r="Z28" s="101"/>
      <c r="AA28" s="102"/>
      <c r="AB28" s="152"/>
      <c r="AC28" s="153"/>
    </row>
    <row r="29" spans="1:29" ht="24.75" customHeight="1" thickBot="1">
      <c r="A29" s="71" t="s">
        <v>36</v>
      </c>
      <c r="B29" s="72"/>
      <c r="C29" s="73"/>
      <c r="D29" s="83">
        <f>SUM(D24:D28)</f>
        <v>5030</v>
      </c>
      <c r="E29" s="84"/>
      <c r="F29" s="83">
        <f>SUM(F24:F28)</f>
        <v>2150</v>
      </c>
      <c r="G29" s="84"/>
      <c r="H29" s="83">
        <f t="shared" ref="H29" si="20">SUM(H24:H28)</f>
        <v>3270</v>
      </c>
      <c r="I29" s="84"/>
      <c r="J29" s="83">
        <f t="shared" ref="J29" si="21">SUM(J24:J28)</f>
        <v>2460</v>
      </c>
      <c r="K29" s="84"/>
      <c r="L29" s="83">
        <f t="shared" ref="L29" si="22">SUM(L24:L28)</f>
        <v>0</v>
      </c>
      <c r="M29" s="84"/>
      <c r="N29" s="83">
        <f t="shared" ref="N29" si="23">SUM(N24:N28)</f>
        <v>0</v>
      </c>
      <c r="O29" s="84"/>
      <c r="P29" s="83">
        <f t="shared" ref="P29" si="24">SUM(P24:P28)</f>
        <v>0</v>
      </c>
      <c r="Q29" s="84"/>
      <c r="R29" s="83">
        <f t="shared" ref="R29" si="25">SUM(R24:R28)</f>
        <v>0</v>
      </c>
      <c r="S29" s="84"/>
      <c r="T29" s="83">
        <f t="shared" ref="T29" si="26">SUM(T24:T28)</f>
        <v>10000</v>
      </c>
      <c r="U29" s="84"/>
      <c r="V29" s="83">
        <f t="shared" ref="V29" si="27">SUM(V24:V28)</f>
        <v>0</v>
      </c>
      <c r="W29" s="84"/>
      <c r="X29" s="83">
        <f t="shared" ref="X29" si="28">SUM(X24:X28)</f>
        <v>0</v>
      </c>
      <c r="Y29" s="84"/>
      <c r="Z29" s="83">
        <f t="shared" ref="Z29" si="29">SUM(Z24:Z28)</f>
        <v>0</v>
      </c>
      <c r="AA29" s="131"/>
      <c r="AB29" s="141">
        <f t="shared" ref="AB29" si="30">SUM(AB24:AB28)</f>
        <v>0</v>
      </c>
      <c r="AC29" s="142"/>
    </row>
    <row r="30" spans="1:29" ht="24.75" customHeight="1" thickTop="1" thickBot="1">
      <c r="A30" s="132" t="s">
        <v>37</v>
      </c>
      <c r="B30" s="133"/>
      <c r="C30" s="134"/>
      <c r="D30" s="126">
        <f>D23-D29</f>
        <v>189205</v>
      </c>
      <c r="E30" s="127"/>
      <c r="F30" s="126">
        <f>F23-F29</f>
        <v>122881</v>
      </c>
      <c r="G30" s="127"/>
      <c r="H30" s="126">
        <f>H23-H29</f>
        <v>150397</v>
      </c>
      <c r="I30" s="127"/>
      <c r="J30" s="126">
        <f>J23-J29</f>
        <v>130065</v>
      </c>
      <c r="K30" s="127"/>
      <c r="L30" s="126">
        <f>L23-L29</f>
        <v>34160</v>
      </c>
      <c r="M30" s="127"/>
      <c r="N30" s="126">
        <f>N23-N29</f>
        <v>0</v>
      </c>
      <c r="O30" s="127"/>
      <c r="P30" s="126">
        <f>P23-P29</f>
        <v>42500</v>
      </c>
      <c r="Q30" s="127"/>
      <c r="R30" s="126">
        <f>R23-R29</f>
        <v>68000</v>
      </c>
      <c r="S30" s="127"/>
      <c r="T30" s="126">
        <f>T23-T29</f>
        <v>78980</v>
      </c>
      <c r="U30" s="127"/>
      <c r="V30" s="126">
        <f>V23-V29</f>
        <v>68000</v>
      </c>
      <c r="W30" s="127"/>
      <c r="X30" s="126">
        <f>X21-X29</f>
        <v>85500</v>
      </c>
      <c r="Y30" s="127"/>
      <c r="Z30" s="126">
        <f>Z23-Z29</f>
        <v>0</v>
      </c>
      <c r="AA30" s="128"/>
      <c r="AB30" s="155">
        <f>D30+F30+H30+J30+L30+N30</f>
        <v>626708</v>
      </c>
      <c r="AC30" s="15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15F7E-DB98-4314-96BB-61E0F2E8B2BB}">
  <dimension ref="A1:AC30"/>
  <sheetViews>
    <sheetView topLeftCell="A9" workbookViewId="0">
      <selection activeCell="X30" sqref="X30:Y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76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176" t="s">
        <v>20</v>
      </c>
      <c r="AC6" s="177"/>
    </row>
    <row r="7" spans="1:29" ht="24.75" customHeight="1">
      <c r="A7" s="65" t="s">
        <v>40</v>
      </c>
      <c r="B7" s="66"/>
      <c r="C7" s="67"/>
      <c r="D7" s="3">
        <v>5</v>
      </c>
      <c r="E7" s="4" t="s">
        <v>21</v>
      </c>
      <c r="F7" s="3">
        <v>5</v>
      </c>
      <c r="G7" s="4" t="s">
        <v>21</v>
      </c>
      <c r="H7" s="3"/>
      <c r="I7" s="4" t="s">
        <v>21</v>
      </c>
      <c r="J7" s="3">
        <v>7</v>
      </c>
      <c r="K7" s="4" t="s">
        <v>21</v>
      </c>
      <c r="L7" s="3">
        <v>9</v>
      </c>
      <c r="M7" s="4" t="s">
        <v>21</v>
      </c>
      <c r="N7" s="3">
        <v>0</v>
      </c>
      <c r="O7" s="4" t="s">
        <v>21</v>
      </c>
      <c r="P7" s="3">
        <v>0</v>
      </c>
      <c r="Q7" s="4" t="s">
        <v>21</v>
      </c>
      <c r="R7" s="3">
        <v>0</v>
      </c>
      <c r="S7" s="4" t="s">
        <v>21</v>
      </c>
      <c r="T7" s="3">
        <v>8</v>
      </c>
      <c r="U7" s="4" t="s">
        <v>21</v>
      </c>
      <c r="V7" s="3">
        <v>8</v>
      </c>
      <c r="W7" s="4" t="s">
        <v>21</v>
      </c>
      <c r="X7" s="3">
        <v>8</v>
      </c>
      <c r="Y7" s="4" t="s">
        <v>21</v>
      </c>
      <c r="Z7" s="3">
        <v>5</v>
      </c>
      <c r="AA7" s="4" t="s">
        <v>21</v>
      </c>
      <c r="AB7" s="30"/>
      <c r="AC7" s="31" t="s">
        <v>21</v>
      </c>
    </row>
    <row r="8" spans="1:29" ht="24.75" customHeight="1">
      <c r="A8" s="65" t="s">
        <v>41</v>
      </c>
      <c r="B8" s="66"/>
      <c r="C8" s="67"/>
      <c r="D8" s="3">
        <v>4</v>
      </c>
      <c r="E8" s="4" t="s">
        <v>21</v>
      </c>
      <c r="F8" s="3"/>
      <c r="G8" s="4" t="s">
        <v>21</v>
      </c>
      <c r="H8" s="3">
        <v>3</v>
      </c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65" t="s">
        <v>49</v>
      </c>
      <c r="B9" s="66"/>
      <c r="C9" s="67"/>
      <c r="D9" s="3">
        <v>9</v>
      </c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80" t="s">
        <v>69</v>
      </c>
      <c r="B10" s="81"/>
      <c r="C10" s="82"/>
      <c r="D10" s="3">
        <v>12</v>
      </c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71" t="s">
        <v>26</v>
      </c>
      <c r="B11" s="72"/>
      <c r="C11" s="73"/>
      <c r="D11" s="74">
        <v>8000</v>
      </c>
      <c r="E11" s="75"/>
      <c r="F11" s="74">
        <v>8000</v>
      </c>
      <c r="G11" s="75"/>
      <c r="H11" s="74">
        <v>8000</v>
      </c>
      <c r="I11" s="75"/>
      <c r="J11" s="74">
        <v>8000</v>
      </c>
      <c r="K11" s="75"/>
      <c r="L11" s="74">
        <v>8000</v>
      </c>
      <c r="M11" s="75"/>
      <c r="N11" s="74">
        <v>8000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7"/>
      <c r="AB11" s="135"/>
      <c r="AC11" s="136"/>
    </row>
    <row r="12" spans="1:29" ht="24.75" customHeight="1">
      <c r="A12" s="65" t="s">
        <v>49</v>
      </c>
      <c r="B12" s="66"/>
      <c r="C12" s="67"/>
      <c r="D12" s="58">
        <v>1328</v>
      </c>
      <c r="E12" s="59"/>
      <c r="F12" s="58">
        <v>1328</v>
      </c>
      <c r="G12" s="59"/>
      <c r="H12" s="58">
        <v>1328</v>
      </c>
      <c r="I12" s="59"/>
      <c r="J12" s="58">
        <v>1328</v>
      </c>
      <c r="K12" s="59"/>
      <c r="L12" s="58">
        <v>1328</v>
      </c>
      <c r="M12" s="59"/>
      <c r="N12" s="58">
        <v>1328</v>
      </c>
      <c r="O12" s="59"/>
      <c r="P12" s="58">
        <v>1328</v>
      </c>
      <c r="Q12" s="59"/>
      <c r="R12" s="58">
        <v>1328</v>
      </c>
      <c r="S12" s="59"/>
      <c r="T12" s="58">
        <v>1328</v>
      </c>
      <c r="U12" s="59"/>
      <c r="V12" s="58">
        <v>1328</v>
      </c>
      <c r="W12" s="59"/>
      <c r="X12" s="58">
        <v>1328</v>
      </c>
      <c r="Y12" s="59"/>
      <c r="Z12" s="58">
        <v>1328</v>
      </c>
      <c r="AA12" s="79"/>
      <c r="AB12" s="137"/>
      <c r="AC12" s="138"/>
    </row>
    <row r="13" spans="1:29" ht="24.75" customHeight="1">
      <c r="A13" s="89" t="s">
        <v>96</v>
      </c>
      <c r="B13" s="90"/>
      <c r="C13" s="66"/>
      <c r="D13" s="58">
        <v>10000</v>
      </c>
      <c r="E13" s="59"/>
      <c r="F13" s="58">
        <v>10000</v>
      </c>
      <c r="G13" s="59"/>
      <c r="H13" s="58">
        <v>10000</v>
      </c>
      <c r="I13" s="59"/>
      <c r="J13" s="58">
        <v>10000</v>
      </c>
      <c r="K13" s="59"/>
      <c r="L13" s="58">
        <v>10000</v>
      </c>
      <c r="M13" s="59"/>
      <c r="N13" s="58">
        <v>10000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79"/>
      <c r="AB13" s="137"/>
      <c r="AC13" s="138"/>
    </row>
    <row r="14" spans="1:29" ht="24.75" customHeight="1" thickBot="1">
      <c r="A14" s="80" t="s">
        <v>50</v>
      </c>
      <c r="B14" s="81"/>
      <c r="C14" s="82"/>
      <c r="D14" s="85">
        <v>1563</v>
      </c>
      <c r="E14" s="86"/>
      <c r="F14" s="85">
        <v>1563</v>
      </c>
      <c r="G14" s="86"/>
      <c r="H14" s="85">
        <v>1563</v>
      </c>
      <c r="I14" s="86"/>
      <c r="J14" s="85">
        <v>1563</v>
      </c>
      <c r="K14" s="86"/>
      <c r="L14" s="85">
        <v>1563</v>
      </c>
      <c r="M14" s="86"/>
      <c r="N14" s="85">
        <v>1563</v>
      </c>
      <c r="O14" s="86"/>
      <c r="P14" s="85">
        <v>1563</v>
      </c>
      <c r="Q14" s="86"/>
      <c r="R14" s="85">
        <v>1563</v>
      </c>
      <c r="S14" s="86"/>
      <c r="T14" s="85">
        <v>1563</v>
      </c>
      <c r="U14" s="86"/>
      <c r="V14" s="85">
        <v>1563</v>
      </c>
      <c r="W14" s="86"/>
      <c r="X14" s="85">
        <v>1563</v>
      </c>
      <c r="Y14" s="86"/>
      <c r="Z14" s="85">
        <v>1563</v>
      </c>
      <c r="AA14" s="88"/>
      <c r="AB14" s="139"/>
      <c r="AC14" s="140"/>
    </row>
    <row r="15" spans="1:29" ht="24.75" customHeight="1" thickTop="1">
      <c r="A15" s="91" t="s">
        <v>42</v>
      </c>
      <c r="B15" s="20" t="s">
        <v>67</v>
      </c>
      <c r="C15" s="2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135"/>
      <c r="AC15" s="136"/>
    </row>
    <row r="16" spans="1:29" ht="24.75" customHeight="1">
      <c r="A16" s="92"/>
      <c r="B16" s="18" t="s">
        <v>68</v>
      </c>
      <c r="C16" s="19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37"/>
      <c r="AC16" s="138"/>
    </row>
    <row r="17" spans="1:29" ht="24.75" customHeight="1">
      <c r="A17" s="92"/>
      <c r="B17" s="18" t="s">
        <v>114</v>
      </c>
      <c r="C17" s="19" t="s">
        <v>45</v>
      </c>
      <c r="D17" s="58">
        <v>4500</v>
      </c>
      <c r="E17" s="59"/>
      <c r="F17" s="58">
        <v>2500</v>
      </c>
      <c r="G17" s="59"/>
      <c r="H17" s="58">
        <v>1500</v>
      </c>
      <c r="I17" s="59"/>
      <c r="J17" s="58">
        <v>3500</v>
      </c>
      <c r="K17" s="59"/>
      <c r="L17" s="58">
        <v>4500</v>
      </c>
      <c r="M17" s="59"/>
      <c r="N17" s="58"/>
      <c r="O17" s="59"/>
      <c r="P17" s="58"/>
      <c r="Q17" s="59"/>
      <c r="R17" s="58"/>
      <c r="S17" s="59"/>
      <c r="T17" s="58">
        <v>6400</v>
      </c>
      <c r="U17" s="59"/>
      <c r="V17" s="58">
        <v>6400</v>
      </c>
      <c r="W17" s="59"/>
      <c r="X17" s="58">
        <v>6400</v>
      </c>
      <c r="Y17" s="59"/>
      <c r="Z17" s="58">
        <v>4000</v>
      </c>
      <c r="AA17" s="59"/>
      <c r="AB17" s="137"/>
      <c r="AC17" s="138"/>
    </row>
    <row r="18" spans="1:29" ht="24.75" customHeight="1">
      <c r="A18" s="92"/>
      <c r="B18" s="94" t="s">
        <v>28</v>
      </c>
      <c r="C18" s="95"/>
      <c r="D18" s="58">
        <v>5970</v>
      </c>
      <c r="E18" s="59"/>
      <c r="F18" s="58">
        <v>2500</v>
      </c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>
        <v>6832</v>
      </c>
      <c r="U18" s="59"/>
      <c r="V18" s="58">
        <v>6832</v>
      </c>
      <c r="W18" s="59"/>
      <c r="X18" s="58">
        <v>6832</v>
      </c>
      <c r="Y18" s="59"/>
      <c r="Z18" s="58">
        <v>3000</v>
      </c>
      <c r="AA18" s="59"/>
      <c r="AB18" s="137"/>
      <c r="AC18" s="138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37"/>
      <c r="AC19" s="138"/>
    </row>
    <row r="20" spans="1:29" ht="24.75" customHeight="1" thickBot="1">
      <c r="A20" s="93"/>
      <c r="B20" s="52" t="s">
        <v>30</v>
      </c>
      <c r="C20" s="48"/>
      <c r="D20" s="85">
        <v>30000</v>
      </c>
      <c r="E20" s="86"/>
      <c r="F20" s="85"/>
      <c r="G20" s="86"/>
      <c r="H20" s="85"/>
      <c r="I20" s="86"/>
      <c r="J20" s="85"/>
      <c r="K20" s="86"/>
      <c r="L20" s="85"/>
      <c r="M20" s="86"/>
      <c r="N20" s="85"/>
      <c r="O20" s="86"/>
      <c r="P20" s="85"/>
      <c r="Q20" s="86"/>
      <c r="R20" s="85"/>
      <c r="S20" s="86"/>
      <c r="T20" s="85">
        <v>3000</v>
      </c>
      <c r="U20" s="86"/>
      <c r="V20" s="85">
        <v>3000</v>
      </c>
      <c r="W20" s="86"/>
      <c r="X20" s="85">
        <v>3000</v>
      </c>
      <c r="Y20" s="86"/>
      <c r="Z20" s="85">
        <v>3000</v>
      </c>
      <c r="AA20" s="86"/>
      <c r="AB20" s="139"/>
      <c r="AC20" s="140"/>
    </row>
    <row r="21" spans="1:29" ht="24.75" customHeight="1" thickTop="1">
      <c r="A21" s="71" t="s">
        <v>31</v>
      </c>
      <c r="B21" s="72"/>
      <c r="C21" s="73"/>
      <c r="D21" s="74">
        <f>INT(D7*D11+D9*D12+D8*D13+D10*D14+D17+D18+D20)</f>
        <v>151178</v>
      </c>
      <c r="E21" s="75"/>
      <c r="F21" s="74">
        <f>INT(F7*F11+F8*F13+F10*F12+F15+F16+F17+F18+F19+F9*F12+F20)</f>
        <v>45000</v>
      </c>
      <c r="G21" s="75"/>
      <c r="H21" s="74">
        <f>INT(H7*H11+H8*H13+H10*H12+H15+H16+H17+H18+H19+H20+H9*H12)</f>
        <v>31500</v>
      </c>
      <c r="I21" s="75"/>
      <c r="J21" s="74">
        <f t="shared" ref="J21" si="0">INT(J7*J11+J8*J13+J10*J12+J15+J16+J17+J18+J19+J20)</f>
        <v>59500</v>
      </c>
      <c r="K21" s="75"/>
      <c r="L21" s="74">
        <f t="shared" ref="L21" si="1">INT(L7*L11+L8*L13+L10*L12+L15+L16+L17+L18+L19+L20)</f>
        <v>76500</v>
      </c>
      <c r="M21" s="75"/>
      <c r="N21" s="74">
        <f t="shared" ref="N21" si="2">INT(N7*N11+N8*N13+N10*N12+N15+N16+N17+N18+N19+N20)</f>
        <v>0</v>
      </c>
      <c r="O21" s="75"/>
      <c r="P21" s="74">
        <f t="shared" ref="P21" si="3">INT(P7*P11+P8*P13+P10*P12+P15+P16+P17+P18+P19+P20)</f>
        <v>0</v>
      </c>
      <c r="Q21" s="75"/>
      <c r="R21" s="74">
        <f t="shared" ref="R21" si="4">INT(R7*R11+R8*R13+R10*R12+R15+R16+R17+R18+R19+R20)</f>
        <v>0</v>
      </c>
      <c r="S21" s="75"/>
      <c r="T21" s="74">
        <f t="shared" ref="T21" si="5">INT(T7*T11+T8*T13+T10*T12+T15+T16+T17+T18+T19+T20)</f>
        <v>80232</v>
      </c>
      <c r="U21" s="75"/>
      <c r="V21" s="74">
        <f t="shared" ref="V21" si="6">INT(V7*V11+V8*V13+V10*V12+V15+V16+V17+V18+V19+V20)</f>
        <v>80232</v>
      </c>
      <c r="W21" s="75"/>
      <c r="X21" s="74">
        <f t="shared" ref="X21" si="7">INT(X7*X11+X8*X13+X10*X12+X15+X16+X17+X18+X19+X20)</f>
        <v>80232</v>
      </c>
      <c r="Y21" s="75"/>
      <c r="Z21" s="74">
        <f t="shared" ref="Z21" si="8">INT(Z7*Z11+Z8*Z13+Z10*Z12+Z15+Z16+Z17+Z18+Z19+Z20)</f>
        <v>50000</v>
      </c>
      <c r="AA21" s="75"/>
      <c r="AB21" s="141">
        <f>D21+F21+H21+J21+L21+N21</f>
        <v>363678</v>
      </c>
      <c r="AC21" s="142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>
        <v>30000</v>
      </c>
      <c r="U22" s="102"/>
      <c r="V22" s="101"/>
      <c r="W22" s="102"/>
      <c r="X22" s="101"/>
      <c r="Y22" s="102"/>
      <c r="Z22" s="101"/>
      <c r="AA22" s="102"/>
      <c r="AB22" s="145"/>
      <c r="AC22" s="146"/>
    </row>
    <row r="23" spans="1:29" ht="24.75" customHeight="1" thickBot="1">
      <c r="A23" s="117" t="s">
        <v>20</v>
      </c>
      <c r="B23" s="118"/>
      <c r="C23" s="119"/>
      <c r="D23" s="105">
        <f>D21</f>
        <v>151178</v>
      </c>
      <c r="E23" s="106"/>
      <c r="F23" s="105">
        <f t="shared" ref="F23" si="9">F21+F22</f>
        <v>45000</v>
      </c>
      <c r="G23" s="106"/>
      <c r="H23" s="105">
        <f t="shared" ref="H23" si="10">H21+H22</f>
        <v>31500</v>
      </c>
      <c r="I23" s="106"/>
      <c r="J23" s="105">
        <f t="shared" ref="J23" si="11">J21+J22</f>
        <v>59500</v>
      </c>
      <c r="K23" s="106"/>
      <c r="L23" s="105">
        <f t="shared" ref="L23" si="12">L21+L22</f>
        <v>76500</v>
      </c>
      <c r="M23" s="106"/>
      <c r="N23" s="105">
        <f t="shared" ref="N23" si="13">N21+N22</f>
        <v>0</v>
      </c>
      <c r="O23" s="106"/>
      <c r="P23" s="105">
        <f t="shared" ref="P23" si="14">P21+P22</f>
        <v>0</v>
      </c>
      <c r="Q23" s="106"/>
      <c r="R23" s="105">
        <f t="shared" ref="R23" si="15">R21+R22</f>
        <v>0</v>
      </c>
      <c r="S23" s="106"/>
      <c r="T23" s="105">
        <f t="shared" ref="T23" si="16">T21+T22</f>
        <v>110232</v>
      </c>
      <c r="U23" s="106"/>
      <c r="V23" s="105">
        <f t="shared" ref="V23" si="17">V21+V22</f>
        <v>80232</v>
      </c>
      <c r="W23" s="106"/>
      <c r="X23" s="105">
        <f t="shared" ref="X23" si="18">X21+X22</f>
        <v>80232</v>
      </c>
      <c r="Y23" s="106"/>
      <c r="Z23" s="105">
        <f t="shared" ref="Z23" si="19">Z21+Z22</f>
        <v>50000</v>
      </c>
      <c r="AA23" s="106"/>
      <c r="AB23" s="147">
        <f>D23+F23+H23+J23+L23+N23</f>
        <v>363678</v>
      </c>
      <c r="AC23" s="148"/>
    </row>
    <row r="24" spans="1:29" ht="24.75" customHeight="1">
      <c r="A24" s="109" t="s">
        <v>33</v>
      </c>
      <c r="B24" s="113" t="s">
        <v>34</v>
      </c>
      <c r="C24" s="114"/>
      <c r="D24" s="115">
        <v>0</v>
      </c>
      <c r="E24" s="116"/>
      <c r="F24" s="115"/>
      <c r="G24" s="116"/>
      <c r="H24" s="115"/>
      <c r="I24" s="116"/>
      <c r="J24" s="115"/>
      <c r="K24" s="116"/>
      <c r="L24" s="115">
        <v>0</v>
      </c>
      <c r="M24" s="116"/>
      <c r="N24" s="115">
        <f t="shared" ref="N24" si="20">N23*0.003</f>
        <v>0</v>
      </c>
      <c r="O24" s="116"/>
      <c r="P24" s="115">
        <f t="shared" ref="P24" si="21">P23*0.003</f>
        <v>0</v>
      </c>
      <c r="Q24" s="116"/>
      <c r="R24" s="115">
        <f t="shared" ref="R24" si="22">R23*0.003</f>
        <v>0</v>
      </c>
      <c r="S24" s="116"/>
      <c r="T24" s="115">
        <f t="shared" ref="T24" si="23">T23*0.003</f>
        <v>330.69600000000003</v>
      </c>
      <c r="U24" s="116"/>
      <c r="V24" s="115">
        <f t="shared" ref="V24" si="24">V23*0.003</f>
        <v>240.696</v>
      </c>
      <c r="W24" s="116"/>
      <c r="X24" s="115">
        <f t="shared" ref="X24" si="25">X23*0.003</f>
        <v>240.696</v>
      </c>
      <c r="Y24" s="116"/>
      <c r="Z24" s="115">
        <v>0</v>
      </c>
      <c r="AA24" s="116"/>
      <c r="AB24" s="150"/>
      <c r="AC24" s="151"/>
    </row>
    <row r="25" spans="1:29" ht="24.75" customHeight="1">
      <c r="A25" s="110"/>
      <c r="B25" s="94" t="s">
        <v>35</v>
      </c>
      <c r="C25" s="95"/>
      <c r="D25" s="58">
        <v>1850</v>
      </c>
      <c r="E25" s="59"/>
      <c r="F25" s="58"/>
      <c r="G25" s="59"/>
      <c r="H25" s="58"/>
      <c r="I25" s="59"/>
      <c r="J25" s="58"/>
      <c r="K25" s="59"/>
      <c r="L25" s="58">
        <v>0</v>
      </c>
      <c r="M25" s="59"/>
      <c r="N25" s="58"/>
      <c r="O25" s="59"/>
      <c r="P25" s="58"/>
      <c r="Q25" s="59"/>
      <c r="R25" s="58"/>
      <c r="S25" s="59"/>
      <c r="T25" s="58">
        <v>1650</v>
      </c>
      <c r="U25" s="59"/>
      <c r="V25" s="58">
        <v>0</v>
      </c>
      <c r="W25" s="59"/>
      <c r="X25" s="58">
        <v>0</v>
      </c>
      <c r="Y25" s="59"/>
      <c r="Z25" s="58">
        <v>0</v>
      </c>
      <c r="AA25" s="59"/>
      <c r="AB25" s="137"/>
      <c r="AC25" s="138"/>
    </row>
    <row r="26" spans="1:29" ht="24.75" customHeight="1">
      <c r="A26" s="110"/>
      <c r="B26" s="94" t="s">
        <v>47</v>
      </c>
      <c r="C26" s="95"/>
      <c r="D26" s="58">
        <v>0</v>
      </c>
      <c r="E26" s="59"/>
      <c r="F26" s="58"/>
      <c r="G26" s="59"/>
      <c r="H26" s="58"/>
      <c r="I26" s="59"/>
      <c r="J26" s="58"/>
      <c r="K26" s="59"/>
      <c r="L26" s="58">
        <v>0</v>
      </c>
      <c r="M26" s="59"/>
      <c r="N26" s="58"/>
      <c r="O26" s="59"/>
      <c r="P26" s="58"/>
      <c r="Q26" s="59"/>
      <c r="R26" s="58"/>
      <c r="S26" s="59"/>
      <c r="T26" s="58">
        <v>0</v>
      </c>
      <c r="U26" s="59"/>
      <c r="V26" s="58">
        <v>0</v>
      </c>
      <c r="W26" s="59"/>
      <c r="X26" s="58">
        <v>0</v>
      </c>
      <c r="Y26" s="59"/>
      <c r="Z26" s="58">
        <v>0</v>
      </c>
      <c r="AA26" s="59"/>
      <c r="AB26" s="137"/>
      <c r="AC26" s="138"/>
    </row>
    <row r="27" spans="1:29" ht="24.75" customHeight="1">
      <c r="A27" s="111"/>
      <c r="B27" s="94" t="s">
        <v>48</v>
      </c>
      <c r="C27" s="95"/>
      <c r="D27" s="83">
        <v>0</v>
      </c>
      <c r="E27" s="84"/>
      <c r="F27" s="83"/>
      <c r="G27" s="84"/>
      <c r="H27" s="83"/>
      <c r="I27" s="84"/>
      <c r="J27" s="83"/>
      <c r="K27" s="84"/>
      <c r="L27" s="83">
        <v>0</v>
      </c>
      <c r="M27" s="84"/>
      <c r="N27" s="83"/>
      <c r="O27" s="84"/>
      <c r="P27" s="83"/>
      <c r="Q27" s="84"/>
      <c r="R27" s="83"/>
      <c r="S27" s="84"/>
      <c r="T27" s="83">
        <v>0</v>
      </c>
      <c r="U27" s="84"/>
      <c r="V27" s="83">
        <v>0</v>
      </c>
      <c r="W27" s="84"/>
      <c r="X27" s="83">
        <v>0</v>
      </c>
      <c r="Y27" s="84"/>
      <c r="Z27" s="83">
        <v>0</v>
      </c>
      <c r="AA27" s="84"/>
      <c r="AB27" s="141"/>
      <c r="AC27" s="142"/>
    </row>
    <row r="28" spans="1:29" ht="24.75" customHeight="1" thickBot="1">
      <c r="A28" s="112"/>
      <c r="B28" s="124" t="s">
        <v>51</v>
      </c>
      <c r="C28" s="125"/>
      <c r="D28" s="101">
        <v>0</v>
      </c>
      <c r="E28" s="102"/>
      <c r="F28" s="101"/>
      <c r="G28" s="102"/>
      <c r="H28" s="101"/>
      <c r="I28" s="102"/>
      <c r="J28" s="101"/>
      <c r="K28" s="102"/>
      <c r="L28" s="101">
        <v>0</v>
      </c>
      <c r="M28" s="102"/>
      <c r="N28" s="101"/>
      <c r="O28" s="102"/>
      <c r="P28" s="101"/>
      <c r="Q28" s="102"/>
      <c r="R28" s="101"/>
      <c r="S28" s="102"/>
      <c r="T28" s="101">
        <v>30000</v>
      </c>
      <c r="U28" s="102"/>
      <c r="V28" s="101">
        <v>0</v>
      </c>
      <c r="W28" s="102"/>
      <c r="X28" s="101">
        <v>0</v>
      </c>
      <c r="Y28" s="102"/>
      <c r="Z28" s="101">
        <v>0</v>
      </c>
      <c r="AA28" s="102"/>
      <c r="AB28" s="152"/>
      <c r="AC28" s="153"/>
    </row>
    <row r="29" spans="1:29" ht="24.75" customHeight="1" thickBot="1">
      <c r="A29" s="71" t="s">
        <v>36</v>
      </c>
      <c r="B29" s="72"/>
      <c r="C29" s="73"/>
      <c r="D29" s="83">
        <f>SUM(D24:D28)</f>
        <v>1850</v>
      </c>
      <c r="E29" s="84"/>
      <c r="F29" s="83">
        <f>SUM(F24:F28)</f>
        <v>0</v>
      </c>
      <c r="G29" s="84"/>
      <c r="H29" s="83">
        <f t="shared" ref="H29" si="26">SUM(H24:H28)</f>
        <v>0</v>
      </c>
      <c r="I29" s="84"/>
      <c r="J29" s="83">
        <f t="shared" ref="J29" si="27">SUM(J24:J28)</f>
        <v>0</v>
      </c>
      <c r="K29" s="84"/>
      <c r="L29" s="83">
        <f t="shared" ref="L29" si="28">SUM(L24:L28)</f>
        <v>0</v>
      </c>
      <c r="M29" s="84"/>
      <c r="N29" s="83">
        <f t="shared" ref="N29" si="29">SUM(N24:N28)</f>
        <v>0</v>
      </c>
      <c r="O29" s="84"/>
      <c r="P29" s="83">
        <f t="shared" ref="P29" si="30">SUM(P24:P28)</f>
        <v>0</v>
      </c>
      <c r="Q29" s="84"/>
      <c r="R29" s="83">
        <f t="shared" ref="R29" si="31">SUM(R24:R28)</f>
        <v>0</v>
      </c>
      <c r="S29" s="84"/>
      <c r="T29" s="83">
        <f t="shared" ref="T29" si="32">SUM(T24:T28)</f>
        <v>31980.696</v>
      </c>
      <c r="U29" s="84"/>
      <c r="V29" s="83">
        <f t="shared" ref="V29" si="33">SUM(V24:V28)</f>
        <v>240.696</v>
      </c>
      <c r="W29" s="84"/>
      <c r="X29" s="83">
        <f t="shared" ref="X29" si="34">SUM(X24:X28)</f>
        <v>240.696</v>
      </c>
      <c r="Y29" s="84"/>
      <c r="Z29" s="83">
        <f t="shared" ref="Z29" si="35">SUM(Z24:Z28)</f>
        <v>0</v>
      </c>
      <c r="AA29" s="131"/>
      <c r="AB29" s="141">
        <f t="shared" ref="AB29" si="36">SUM(AB24:AB28)</f>
        <v>0</v>
      </c>
      <c r="AC29" s="142"/>
    </row>
    <row r="30" spans="1:29" ht="24.75" customHeight="1" thickTop="1" thickBot="1">
      <c r="A30" s="132" t="s">
        <v>37</v>
      </c>
      <c r="B30" s="133"/>
      <c r="C30" s="134"/>
      <c r="D30" s="126">
        <f>D23-D29</f>
        <v>149328</v>
      </c>
      <c r="E30" s="127"/>
      <c r="F30" s="126">
        <f>F23-F29</f>
        <v>45000</v>
      </c>
      <c r="G30" s="127"/>
      <c r="H30" s="126">
        <f>H23-H29</f>
        <v>31500</v>
      </c>
      <c r="I30" s="127"/>
      <c r="J30" s="126">
        <f>J23-J29</f>
        <v>59500</v>
      </c>
      <c r="K30" s="127"/>
      <c r="L30" s="126">
        <f>L23-L29</f>
        <v>76500</v>
      </c>
      <c r="M30" s="127"/>
      <c r="N30" s="126">
        <f>N23-N29</f>
        <v>0</v>
      </c>
      <c r="O30" s="127"/>
      <c r="P30" s="126">
        <f>P23-P29</f>
        <v>0</v>
      </c>
      <c r="Q30" s="127"/>
      <c r="R30" s="126">
        <f>R23-R29</f>
        <v>0</v>
      </c>
      <c r="S30" s="127"/>
      <c r="T30" s="126">
        <f>T23-T29</f>
        <v>78251.304000000004</v>
      </c>
      <c r="U30" s="127"/>
      <c r="V30" s="126">
        <f>V23-V29</f>
        <v>79991.304000000004</v>
      </c>
      <c r="W30" s="127"/>
      <c r="X30" s="126">
        <f>X21-X29</f>
        <v>79991.304000000004</v>
      </c>
      <c r="Y30" s="127"/>
      <c r="Z30" s="126">
        <f>Z23-Z29</f>
        <v>50000</v>
      </c>
      <c r="AA30" s="128"/>
      <c r="AB30" s="155">
        <f>D30+F30+H30+J30+L30+N30</f>
        <v>361828</v>
      </c>
      <c r="AC30" s="15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D05B6-86D0-4179-958F-4388CAAD705E}">
  <sheetPr>
    <tabColor theme="5"/>
  </sheetPr>
  <dimension ref="A1:AC30"/>
  <sheetViews>
    <sheetView topLeftCell="A11" workbookViewId="0">
      <selection activeCell="X15" sqref="X15:Y15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81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176" t="s">
        <v>20</v>
      </c>
      <c r="AC6" s="177"/>
    </row>
    <row r="7" spans="1:29" ht="24.75" customHeight="1">
      <c r="A7" s="65" t="s">
        <v>40</v>
      </c>
      <c r="B7" s="66"/>
      <c r="C7" s="67"/>
      <c r="D7" s="3">
        <v>13</v>
      </c>
      <c r="E7" s="4" t="s">
        <v>21</v>
      </c>
      <c r="F7" s="3">
        <v>14</v>
      </c>
      <c r="G7" s="4" t="s">
        <v>21</v>
      </c>
      <c r="H7" s="3">
        <v>11</v>
      </c>
      <c r="I7" s="4" t="s">
        <v>21</v>
      </c>
      <c r="J7" s="3">
        <v>6</v>
      </c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30"/>
      <c r="AC7" s="31" t="s">
        <v>21</v>
      </c>
    </row>
    <row r="8" spans="1:29" ht="24.75" customHeight="1">
      <c r="A8" s="65" t="s">
        <v>41</v>
      </c>
      <c r="B8" s="66"/>
      <c r="C8" s="67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65" t="s">
        <v>49</v>
      </c>
      <c r="B9" s="66"/>
      <c r="C9" s="67"/>
      <c r="D9" s="3">
        <v>19</v>
      </c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80" t="s">
        <v>69</v>
      </c>
      <c r="B10" s="81"/>
      <c r="C10" s="8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71" t="s">
        <v>26</v>
      </c>
      <c r="B11" s="72"/>
      <c r="C11" s="73"/>
      <c r="D11" s="74">
        <v>8000</v>
      </c>
      <c r="E11" s="75"/>
      <c r="F11" s="74">
        <v>8000</v>
      </c>
      <c r="G11" s="75"/>
      <c r="H11" s="74">
        <v>8000</v>
      </c>
      <c r="I11" s="75"/>
      <c r="J11" s="74">
        <v>8000</v>
      </c>
      <c r="K11" s="75"/>
      <c r="L11" s="74"/>
      <c r="M11" s="75"/>
      <c r="N11" s="74"/>
      <c r="O11" s="75"/>
      <c r="P11" s="74"/>
      <c r="Q11" s="75"/>
      <c r="R11" s="74"/>
      <c r="S11" s="75"/>
      <c r="T11" s="74"/>
      <c r="U11" s="75"/>
      <c r="V11" s="74"/>
      <c r="W11" s="75"/>
      <c r="X11" s="74"/>
      <c r="Y11" s="75"/>
      <c r="Z11" s="74"/>
      <c r="AA11" s="75"/>
      <c r="AB11" s="135"/>
      <c r="AC11" s="136"/>
    </row>
    <row r="12" spans="1:29" ht="24.75" customHeight="1">
      <c r="A12" s="65" t="s">
        <v>49</v>
      </c>
      <c r="B12" s="66"/>
      <c r="C12" s="67"/>
      <c r="D12" s="58">
        <v>1328</v>
      </c>
      <c r="E12" s="59"/>
      <c r="F12" s="58">
        <v>1343</v>
      </c>
      <c r="G12" s="59"/>
      <c r="H12" s="58">
        <v>1343</v>
      </c>
      <c r="I12" s="59"/>
      <c r="J12" s="58">
        <v>1250</v>
      </c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137"/>
      <c r="AC12" s="138"/>
    </row>
    <row r="13" spans="1:29" ht="24.75" customHeight="1">
      <c r="A13" s="89" t="s">
        <v>27</v>
      </c>
      <c r="B13" s="90"/>
      <c r="C13" s="66"/>
      <c r="D13" s="58">
        <v>10000</v>
      </c>
      <c r="E13" s="59"/>
      <c r="F13" s="58">
        <v>10750</v>
      </c>
      <c r="G13" s="59"/>
      <c r="H13" s="58">
        <v>10750</v>
      </c>
      <c r="I13" s="59"/>
      <c r="J13" s="58">
        <v>10000</v>
      </c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59"/>
      <c r="AB13" s="137"/>
      <c r="AC13" s="138"/>
    </row>
    <row r="14" spans="1:29" ht="24.75" customHeight="1" thickBot="1">
      <c r="A14" s="80" t="s">
        <v>50</v>
      </c>
      <c r="B14" s="81"/>
      <c r="C14" s="82"/>
      <c r="D14" s="85">
        <v>1563</v>
      </c>
      <c r="E14" s="86"/>
      <c r="F14" s="85">
        <v>1562</v>
      </c>
      <c r="G14" s="86"/>
      <c r="H14" s="85">
        <v>1680</v>
      </c>
      <c r="I14" s="86"/>
      <c r="J14" s="85">
        <v>1563</v>
      </c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139"/>
      <c r="AC14" s="140"/>
    </row>
    <row r="15" spans="1:29" ht="24.75" customHeight="1" thickTop="1">
      <c r="A15" s="91" t="s">
        <v>42</v>
      </c>
      <c r="B15" s="20"/>
      <c r="C15" s="22" t="s">
        <v>43</v>
      </c>
      <c r="D15" s="74"/>
      <c r="E15" s="75"/>
      <c r="F15" s="74"/>
      <c r="G15" s="75"/>
      <c r="H15" s="74"/>
      <c r="I15" s="75"/>
      <c r="J15" s="74">
        <v>5000</v>
      </c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135"/>
      <c r="AC15" s="136"/>
    </row>
    <row r="16" spans="1:29" ht="24.75" customHeight="1">
      <c r="A16" s="92"/>
      <c r="B16" s="18"/>
      <c r="C16" s="19" t="s">
        <v>44</v>
      </c>
      <c r="D16" s="58"/>
      <c r="E16" s="59"/>
      <c r="F16" s="58"/>
      <c r="G16" s="59"/>
      <c r="H16" s="58"/>
      <c r="I16" s="59"/>
      <c r="J16" s="58">
        <v>8000</v>
      </c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37"/>
      <c r="AC16" s="138"/>
    </row>
    <row r="17" spans="1:29" ht="24.75" customHeight="1">
      <c r="A17" s="92"/>
      <c r="B17" s="18"/>
      <c r="C17" s="19" t="s">
        <v>45</v>
      </c>
      <c r="D17" s="58">
        <v>7000</v>
      </c>
      <c r="E17" s="59"/>
      <c r="F17" s="58">
        <v>7000</v>
      </c>
      <c r="G17" s="59"/>
      <c r="H17" s="58">
        <v>5500</v>
      </c>
      <c r="I17" s="59"/>
      <c r="J17" s="58">
        <v>3000</v>
      </c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37"/>
      <c r="AC17" s="138"/>
    </row>
    <row r="18" spans="1:29" ht="24.75" customHeight="1">
      <c r="A18" s="92"/>
      <c r="B18" s="94" t="s">
        <v>28</v>
      </c>
      <c r="C18" s="95"/>
      <c r="D18" s="58">
        <v>3105</v>
      </c>
      <c r="E18" s="59"/>
      <c r="F18" s="58">
        <v>2250</v>
      </c>
      <c r="G18" s="59"/>
      <c r="H18" s="58">
        <v>2438</v>
      </c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137"/>
      <c r="AC18" s="138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37"/>
      <c r="AC19" s="138"/>
    </row>
    <row r="20" spans="1:29" ht="24.75" customHeight="1" thickBot="1">
      <c r="A20" s="93"/>
      <c r="B20" s="52" t="s">
        <v>30</v>
      </c>
      <c r="C20" s="48"/>
      <c r="D20" s="85"/>
      <c r="E20" s="86"/>
      <c r="F20" s="85"/>
      <c r="G20" s="86"/>
      <c r="H20" s="85">
        <v>7750</v>
      </c>
      <c r="I20" s="86"/>
      <c r="J20" s="85"/>
      <c r="K20" s="86"/>
      <c r="L20" s="85"/>
      <c r="M20" s="86"/>
      <c r="N20" s="85"/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139"/>
      <c r="AC20" s="140"/>
    </row>
    <row r="21" spans="1:29" ht="24.75" customHeight="1" thickTop="1">
      <c r="A21" s="71" t="s">
        <v>31</v>
      </c>
      <c r="B21" s="72"/>
      <c r="C21" s="73"/>
      <c r="D21" s="74">
        <f>D7*D11+D9*D12+D8*D13+D17+D18</f>
        <v>149337</v>
      </c>
      <c r="E21" s="75"/>
      <c r="F21" s="74">
        <f>INT(F7*F11+F8*F13+F10*F12+F15+F16+F17+F18+F19+F9*F12+F20)</f>
        <v>121250</v>
      </c>
      <c r="G21" s="75"/>
      <c r="H21" s="74">
        <f>INT(H7*H11+H8*H13+H10*H12+H15+H16+H17+H18+H19+H20+H9*H12)</f>
        <v>103688</v>
      </c>
      <c r="I21" s="75"/>
      <c r="J21" s="74">
        <f>J7*J11+J15+J16+J17</f>
        <v>64000</v>
      </c>
      <c r="K21" s="75"/>
      <c r="L21" s="74">
        <f t="shared" ref="L21" si="0">INT(L7*L11+L8*L13+L10*L12+L15+L16+L17+L18+L19+L20)</f>
        <v>0</v>
      </c>
      <c r="M21" s="75"/>
      <c r="N21" s="74">
        <f t="shared" ref="N21" si="1">INT(N7*N11+N8*N13+N10*N12+N15+N16+N17+N18+N19+N20)</f>
        <v>0</v>
      </c>
      <c r="O21" s="75"/>
      <c r="P21" s="74">
        <f t="shared" ref="P21" si="2">INT(P7*P11+P8*P13+P10*P12+P15+P16+P17+P18+P19+P20)</f>
        <v>0</v>
      </c>
      <c r="Q21" s="75"/>
      <c r="R21" s="74">
        <f t="shared" ref="R21" si="3">INT(R7*R11+R8*R13+R10*R12+R15+R16+R17+R18+R19+R20)</f>
        <v>0</v>
      </c>
      <c r="S21" s="75"/>
      <c r="T21" s="74">
        <f t="shared" ref="T21" si="4">INT(T7*T11+T8*T13+T10*T12+T15+T16+T17+T18+T19+T20)</f>
        <v>0</v>
      </c>
      <c r="U21" s="75"/>
      <c r="V21" s="74">
        <f t="shared" ref="V21" si="5">INT(V7*V11+V8*V13+V10*V12+V15+V16+V17+V18+V19+V20)</f>
        <v>0</v>
      </c>
      <c r="W21" s="75"/>
      <c r="X21" s="74">
        <f t="shared" ref="X21" si="6">INT(X7*X11+X8*X13+X10*X12+X15+X16+X17+X18+X19+X20)</f>
        <v>0</v>
      </c>
      <c r="Y21" s="75"/>
      <c r="Z21" s="74">
        <f t="shared" ref="Z21" si="7">INT(Z7*Z11+Z8*Z13+Z10*Z12+Z15+Z16+Z17+Z18+Z19+Z20)</f>
        <v>0</v>
      </c>
      <c r="AA21" s="75"/>
      <c r="AB21" s="141">
        <f>D21+F21+H21+J21+L21+N21</f>
        <v>438275</v>
      </c>
      <c r="AC21" s="142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45"/>
      <c r="AC22" s="146"/>
    </row>
    <row r="23" spans="1:29" ht="24.75" customHeight="1" thickBot="1">
      <c r="A23" s="117" t="s">
        <v>20</v>
      </c>
      <c r="B23" s="118"/>
      <c r="C23" s="119"/>
      <c r="D23" s="105">
        <f>D21</f>
        <v>149337</v>
      </c>
      <c r="E23" s="106"/>
      <c r="F23" s="105">
        <f t="shared" ref="F23" si="8">F21+F22</f>
        <v>121250</v>
      </c>
      <c r="G23" s="106"/>
      <c r="H23" s="105">
        <f t="shared" ref="H23" si="9">H21+H22</f>
        <v>103688</v>
      </c>
      <c r="I23" s="106"/>
      <c r="J23" s="105">
        <f>J7*J11+J15+J16+J17</f>
        <v>64000</v>
      </c>
      <c r="K23" s="106"/>
      <c r="L23" s="105">
        <f t="shared" ref="L23" si="10">L21+L22</f>
        <v>0</v>
      </c>
      <c r="M23" s="106"/>
      <c r="N23" s="105">
        <f t="shared" ref="N23" si="11">N21+N22</f>
        <v>0</v>
      </c>
      <c r="O23" s="106"/>
      <c r="P23" s="105">
        <f t="shared" ref="P23" si="12">P21+P22</f>
        <v>0</v>
      </c>
      <c r="Q23" s="106"/>
      <c r="R23" s="105">
        <f t="shared" ref="R23" si="13">R21+R22</f>
        <v>0</v>
      </c>
      <c r="S23" s="106"/>
      <c r="T23" s="105">
        <f t="shared" ref="T23" si="14">T21+T22</f>
        <v>0</v>
      </c>
      <c r="U23" s="106"/>
      <c r="V23" s="105">
        <f t="shared" ref="V23" si="15">V21+V22</f>
        <v>0</v>
      </c>
      <c r="W23" s="106"/>
      <c r="X23" s="105">
        <f t="shared" ref="X23" si="16">X21+X22</f>
        <v>0</v>
      </c>
      <c r="Y23" s="106"/>
      <c r="Z23" s="105">
        <f t="shared" ref="Z23" si="17">Z21+Z22</f>
        <v>0</v>
      </c>
      <c r="AA23" s="106"/>
      <c r="AB23" s="147">
        <f>D23+F23+H23+J23+L23+N23</f>
        <v>438275</v>
      </c>
      <c r="AC23" s="148"/>
    </row>
    <row r="24" spans="1:29" ht="24.75" customHeight="1">
      <c r="A24" s="109" t="s">
        <v>33</v>
      </c>
      <c r="B24" s="113" t="s">
        <v>34</v>
      </c>
      <c r="C24" s="114"/>
      <c r="D24" s="115"/>
      <c r="E24" s="116"/>
      <c r="F24" s="115"/>
      <c r="G24" s="116"/>
      <c r="H24" s="115">
        <f>H23*0.003</f>
        <v>311.06400000000002</v>
      </c>
      <c r="I24" s="116"/>
      <c r="J24" s="115"/>
      <c r="K24" s="116"/>
      <c r="L24" s="115">
        <f t="shared" ref="L24" si="18">L23*0.003</f>
        <v>0</v>
      </c>
      <c r="M24" s="116"/>
      <c r="N24" s="115">
        <f t="shared" ref="N24" si="19">N23*0.003</f>
        <v>0</v>
      </c>
      <c r="O24" s="116"/>
      <c r="P24" s="115">
        <f t="shared" ref="P24" si="20">P23*0.003</f>
        <v>0</v>
      </c>
      <c r="Q24" s="116"/>
      <c r="R24" s="115">
        <f t="shared" ref="R24" si="21">R23*0.003</f>
        <v>0</v>
      </c>
      <c r="S24" s="116"/>
      <c r="T24" s="115">
        <f t="shared" ref="T24" si="22">T23*0.003</f>
        <v>0</v>
      </c>
      <c r="U24" s="116"/>
      <c r="V24" s="115">
        <f t="shared" ref="V24" si="23">V23*0.003</f>
        <v>0</v>
      </c>
      <c r="W24" s="116"/>
      <c r="X24" s="115">
        <f t="shared" ref="X24" si="24">X23*0.003</f>
        <v>0</v>
      </c>
      <c r="Y24" s="116"/>
      <c r="Z24" s="115">
        <f t="shared" ref="Z24" si="25">Z23*0.003</f>
        <v>0</v>
      </c>
      <c r="AA24" s="116"/>
      <c r="AB24" s="150"/>
      <c r="AC24" s="151"/>
    </row>
    <row r="25" spans="1:29" ht="24.75" customHeight="1">
      <c r="A25" s="110"/>
      <c r="B25" s="94" t="s">
        <v>35</v>
      </c>
      <c r="C25" s="95"/>
      <c r="D25" s="58">
        <v>1480</v>
      </c>
      <c r="E25" s="59"/>
      <c r="F25" s="58">
        <v>2050</v>
      </c>
      <c r="G25" s="59"/>
      <c r="H25" s="58"/>
      <c r="I25" s="59"/>
      <c r="J25" s="58"/>
      <c r="K25" s="59"/>
      <c r="L25" s="58"/>
      <c r="M25" s="59"/>
      <c r="N25" s="58"/>
      <c r="O25" s="59"/>
      <c r="P25" s="58"/>
      <c r="Q25" s="59"/>
      <c r="R25" s="58"/>
      <c r="S25" s="59"/>
      <c r="T25" s="58"/>
      <c r="U25" s="59"/>
      <c r="V25" s="58"/>
      <c r="W25" s="59"/>
      <c r="X25" s="58"/>
      <c r="Y25" s="59"/>
      <c r="Z25" s="58"/>
      <c r="AA25" s="59"/>
      <c r="AB25" s="137"/>
      <c r="AC25" s="138"/>
    </row>
    <row r="26" spans="1:29" ht="24.75" customHeight="1">
      <c r="A26" s="110"/>
      <c r="B26" s="94" t="s">
        <v>47</v>
      </c>
      <c r="C26" s="95"/>
      <c r="D26" s="58"/>
      <c r="E26" s="59"/>
      <c r="F26" s="58"/>
      <c r="G26" s="59"/>
      <c r="H26" s="58"/>
      <c r="I26" s="59"/>
      <c r="J26" s="58"/>
      <c r="K26" s="59"/>
      <c r="L26" s="58"/>
      <c r="M26" s="59"/>
      <c r="N26" s="58"/>
      <c r="O26" s="59"/>
      <c r="P26" s="58"/>
      <c r="Q26" s="59"/>
      <c r="R26" s="58"/>
      <c r="S26" s="59"/>
      <c r="T26" s="58"/>
      <c r="U26" s="59"/>
      <c r="V26" s="58"/>
      <c r="W26" s="59"/>
      <c r="X26" s="58"/>
      <c r="Y26" s="59"/>
      <c r="Z26" s="58"/>
      <c r="AA26" s="59"/>
      <c r="AB26" s="137"/>
      <c r="AC26" s="138"/>
    </row>
    <row r="27" spans="1:29" ht="24.75" customHeight="1">
      <c r="A27" s="111"/>
      <c r="B27" s="94" t="s">
        <v>48</v>
      </c>
      <c r="C27" s="95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  <c r="R27" s="83"/>
      <c r="S27" s="84"/>
      <c r="T27" s="83"/>
      <c r="U27" s="84"/>
      <c r="V27" s="83"/>
      <c r="W27" s="84"/>
      <c r="X27" s="83"/>
      <c r="Y27" s="84"/>
      <c r="Z27" s="83"/>
      <c r="AA27" s="84"/>
      <c r="AB27" s="141"/>
      <c r="AC27" s="142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/>
      <c r="M28" s="102"/>
      <c r="N28" s="101"/>
      <c r="O28" s="102"/>
      <c r="P28" s="101"/>
      <c r="Q28" s="102"/>
      <c r="R28" s="101"/>
      <c r="S28" s="102"/>
      <c r="T28" s="101"/>
      <c r="U28" s="102"/>
      <c r="V28" s="101"/>
      <c r="W28" s="102"/>
      <c r="X28" s="101"/>
      <c r="Y28" s="102"/>
      <c r="Z28" s="101"/>
      <c r="AA28" s="102"/>
      <c r="AB28" s="152"/>
      <c r="AC28" s="153"/>
    </row>
    <row r="29" spans="1:29" ht="24.75" customHeight="1" thickBot="1">
      <c r="A29" s="71" t="s">
        <v>36</v>
      </c>
      <c r="B29" s="72"/>
      <c r="C29" s="73"/>
      <c r="D29" s="83">
        <f>SUM(D24:D28)</f>
        <v>1480</v>
      </c>
      <c r="E29" s="84"/>
      <c r="F29" s="83">
        <f>SUM(F25:F28)</f>
        <v>2050</v>
      </c>
      <c r="G29" s="84"/>
      <c r="H29" s="83">
        <f>H24</f>
        <v>311.06400000000002</v>
      </c>
      <c r="I29" s="84"/>
      <c r="J29" s="83">
        <f t="shared" ref="J29" si="26">SUM(J24:J28)</f>
        <v>0</v>
      </c>
      <c r="K29" s="84"/>
      <c r="L29" s="83">
        <f t="shared" ref="L29" si="27">SUM(L24:L28)</f>
        <v>0</v>
      </c>
      <c r="M29" s="84"/>
      <c r="N29" s="83">
        <f t="shared" ref="N29" si="28">SUM(N24:N28)</f>
        <v>0</v>
      </c>
      <c r="O29" s="84"/>
      <c r="P29" s="83">
        <f t="shared" ref="P29" si="29">SUM(P24:P28)</f>
        <v>0</v>
      </c>
      <c r="Q29" s="84"/>
      <c r="R29" s="83">
        <f t="shared" ref="R29" si="30">SUM(R24:R28)</f>
        <v>0</v>
      </c>
      <c r="S29" s="84"/>
      <c r="T29" s="83">
        <f t="shared" ref="T29" si="31">SUM(T24:T28)</f>
        <v>0</v>
      </c>
      <c r="U29" s="84"/>
      <c r="V29" s="83">
        <f t="shared" ref="V29" si="32">SUM(V24:V28)</f>
        <v>0</v>
      </c>
      <c r="W29" s="84"/>
      <c r="X29" s="83">
        <f t="shared" ref="X29" si="33">SUM(X24:X28)</f>
        <v>0</v>
      </c>
      <c r="Y29" s="84"/>
      <c r="Z29" s="83">
        <f t="shared" ref="Z29" si="34">SUM(Z24:Z28)</f>
        <v>0</v>
      </c>
      <c r="AA29" s="131"/>
      <c r="AB29" s="141">
        <f t="shared" ref="AB29" si="35">SUM(AB24:AB28)</f>
        <v>0</v>
      </c>
      <c r="AC29" s="142"/>
    </row>
    <row r="30" spans="1:29" ht="24.75" customHeight="1" thickTop="1" thickBot="1">
      <c r="A30" s="132" t="s">
        <v>37</v>
      </c>
      <c r="B30" s="133"/>
      <c r="C30" s="134"/>
      <c r="D30" s="126">
        <f>D23-D29</f>
        <v>147857</v>
      </c>
      <c r="E30" s="127"/>
      <c r="F30" s="126">
        <f>F23-F29</f>
        <v>119200</v>
      </c>
      <c r="G30" s="127"/>
      <c r="H30" s="126">
        <f>H23-H29</f>
        <v>103376.936</v>
      </c>
      <c r="I30" s="127"/>
      <c r="J30" s="126">
        <f>J23-J29</f>
        <v>64000</v>
      </c>
      <c r="K30" s="127"/>
      <c r="L30" s="126">
        <f>L23-L29</f>
        <v>0</v>
      </c>
      <c r="M30" s="127"/>
      <c r="N30" s="126">
        <f>N23-N29</f>
        <v>0</v>
      </c>
      <c r="O30" s="127"/>
      <c r="P30" s="126">
        <f>P23-P29</f>
        <v>0</v>
      </c>
      <c r="Q30" s="127"/>
      <c r="R30" s="126">
        <f>R23-R29</f>
        <v>0</v>
      </c>
      <c r="S30" s="127"/>
      <c r="T30" s="126">
        <f>T23-T29</f>
        <v>0</v>
      </c>
      <c r="U30" s="127"/>
      <c r="V30" s="126">
        <f>V23-V29</f>
        <v>0</v>
      </c>
      <c r="W30" s="127"/>
      <c r="X30" s="126">
        <f>X21-X29</f>
        <v>0</v>
      </c>
      <c r="Y30" s="127"/>
      <c r="Z30" s="126">
        <f>Z23-Z29</f>
        <v>0</v>
      </c>
      <c r="AA30" s="128"/>
      <c r="AB30" s="155">
        <f>D30+F30+H30+J30+L30+N30</f>
        <v>434433.93599999999</v>
      </c>
      <c r="AC30" s="15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D673D-28FF-4A39-9684-8135B8F4C098}">
  <sheetPr>
    <tabColor theme="5"/>
  </sheetPr>
  <dimension ref="A1:AC30"/>
  <sheetViews>
    <sheetView topLeftCell="A5" workbookViewId="0">
      <selection activeCell="L11" sqref="L11:AA14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78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176" t="s">
        <v>20</v>
      </c>
      <c r="AC6" s="177"/>
    </row>
    <row r="7" spans="1:29" ht="24.75" customHeight="1">
      <c r="A7" s="65" t="s">
        <v>40</v>
      </c>
      <c r="B7" s="66"/>
      <c r="C7" s="67"/>
      <c r="D7" s="3">
        <v>11</v>
      </c>
      <c r="E7" s="4" t="s">
        <v>21</v>
      </c>
      <c r="F7" s="3">
        <v>15</v>
      </c>
      <c r="G7" s="4" t="s">
        <v>21</v>
      </c>
      <c r="H7" s="3">
        <v>7</v>
      </c>
      <c r="I7" s="4" t="s">
        <v>21</v>
      </c>
      <c r="J7" s="3">
        <v>1</v>
      </c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30"/>
      <c r="AC7" s="31" t="s">
        <v>21</v>
      </c>
    </row>
    <row r="8" spans="1:29" ht="24.75" customHeight="1">
      <c r="A8" s="65" t="s">
        <v>41</v>
      </c>
      <c r="B8" s="66"/>
      <c r="C8" s="67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65" t="s">
        <v>49</v>
      </c>
      <c r="B9" s="66"/>
      <c r="C9" s="67"/>
      <c r="D9" s="3">
        <v>13</v>
      </c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80" t="s">
        <v>69</v>
      </c>
      <c r="B10" s="81"/>
      <c r="C10" s="8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71" t="s">
        <v>26</v>
      </c>
      <c r="B11" s="72"/>
      <c r="C11" s="73"/>
      <c r="D11" s="74">
        <v>8000</v>
      </c>
      <c r="E11" s="75"/>
      <c r="F11" s="74">
        <v>8000</v>
      </c>
      <c r="G11" s="75"/>
      <c r="H11" s="74">
        <v>8000</v>
      </c>
      <c r="I11" s="75"/>
      <c r="J11" s="74">
        <v>8000</v>
      </c>
      <c r="K11" s="75"/>
      <c r="L11" s="74"/>
      <c r="M11" s="75"/>
      <c r="N11" s="74"/>
      <c r="O11" s="75"/>
      <c r="P11" s="74"/>
      <c r="Q11" s="75"/>
      <c r="R11" s="74"/>
      <c r="S11" s="75"/>
      <c r="T11" s="74"/>
      <c r="U11" s="75"/>
      <c r="V11" s="74"/>
      <c r="W11" s="75"/>
      <c r="X11" s="74"/>
      <c r="Y11" s="75"/>
      <c r="Z11" s="74"/>
      <c r="AA11" s="75"/>
      <c r="AB11" s="135"/>
      <c r="AC11" s="136"/>
    </row>
    <row r="12" spans="1:29" ht="24.75" customHeight="1">
      <c r="A12" s="65" t="s">
        <v>49</v>
      </c>
      <c r="B12" s="66"/>
      <c r="C12" s="67"/>
      <c r="D12" s="58">
        <v>1328</v>
      </c>
      <c r="E12" s="59"/>
      <c r="F12" s="58">
        <v>1328</v>
      </c>
      <c r="G12" s="59"/>
      <c r="H12" s="58">
        <v>1343</v>
      </c>
      <c r="I12" s="59"/>
      <c r="J12" s="58">
        <v>1343</v>
      </c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137"/>
      <c r="AC12" s="138"/>
    </row>
    <row r="13" spans="1:29" ht="24.75" customHeight="1">
      <c r="A13" s="89" t="s">
        <v>27</v>
      </c>
      <c r="B13" s="90"/>
      <c r="C13" s="66"/>
      <c r="D13" s="58">
        <v>10000</v>
      </c>
      <c r="E13" s="59"/>
      <c r="F13" s="58">
        <v>10000</v>
      </c>
      <c r="G13" s="59"/>
      <c r="H13" s="58">
        <v>10750</v>
      </c>
      <c r="I13" s="59"/>
      <c r="J13" s="58">
        <v>10750</v>
      </c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59"/>
      <c r="AB13" s="137"/>
      <c r="AC13" s="138"/>
    </row>
    <row r="14" spans="1:29" ht="24.75" customHeight="1" thickBot="1">
      <c r="A14" s="80" t="s">
        <v>50</v>
      </c>
      <c r="B14" s="81"/>
      <c r="C14" s="82"/>
      <c r="D14" s="85">
        <v>1563</v>
      </c>
      <c r="E14" s="86"/>
      <c r="F14" s="85">
        <v>1563</v>
      </c>
      <c r="G14" s="86"/>
      <c r="H14" s="85">
        <v>1680</v>
      </c>
      <c r="I14" s="86"/>
      <c r="J14" s="85">
        <v>1680</v>
      </c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139"/>
      <c r="AC14" s="140"/>
    </row>
    <row r="15" spans="1:29" ht="24.75" customHeight="1" thickTop="1">
      <c r="A15" s="91" t="s">
        <v>42</v>
      </c>
      <c r="B15" s="20"/>
      <c r="C15" s="2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135"/>
      <c r="AC15" s="136"/>
    </row>
    <row r="16" spans="1:29" ht="24.75" customHeight="1">
      <c r="A16" s="92"/>
      <c r="B16" s="18"/>
      <c r="C16" s="19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37"/>
      <c r="AC16" s="138"/>
    </row>
    <row r="17" spans="1:29" ht="24.75" customHeight="1">
      <c r="A17" s="92"/>
      <c r="B17" s="18"/>
      <c r="C17" s="19" t="s">
        <v>45</v>
      </c>
      <c r="D17" s="58">
        <v>6000</v>
      </c>
      <c r="E17" s="59"/>
      <c r="F17" s="58">
        <v>7500</v>
      </c>
      <c r="G17" s="59"/>
      <c r="H17" s="58">
        <v>3500</v>
      </c>
      <c r="I17" s="59"/>
      <c r="J17" s="58">
        <v>500</v>
      </c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37"/>
      <c r="AC17" s="138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137"/>
      <c r="AC18" s="138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37"/>
      <c r="AC19" s="138"/>
    </row>
    <row r="20" spans="1:29" ht="24.75" customHeight="1" thickBot="1">
      <c r="A20" s="93"/>
      <c r="B20" s="52" t="s">
        <v>30</v>
      </c>
      <c r="C20" s="48"/>
      <c r="D20" s="85"/>
      <c r="E20" s="86"/>
      <c r="F20" s="85"/>
      <c r="G20" s="86"/>
      <c r="H20" s="85">
        <v>4000</v>
      </c>
      <c r="I20" s="86"/>
      <c r="J20" s="85"/>
      <c r="K20" s="86"/>
      <c r="L20" s="85"/>
      <c r="M20" s="86"/>
      <c r="N20" s="85"/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139"/>
      <c r="AC20" s="140"/>
    </row>
    <row r="21" spans="1:29" ht="24.75" customHeight="1" thickTop="1">
      <c r="A21" s="71" t="s">
        <v>31</v>
      </c>
      <c r="B21" s="72"/>
      <c r="C21" s="73"/>
      <c r="D21" s="74">
        <f>INT(D7*D11+D9*D12+D8*D13+D17)</f>
        <v>121264</v>
      </c>
      <c r="E21" s="75"/>
      <c r="F21" s="74">
        <f>INT(F7*F11+F8*F13+F10*F12+F15+F16+F17+F18+F19+F9*F12+F20)</f>
        <v>127500</v>
      </c>
      <c r="G21" s="75"/>
      <c r="H21" s="74">
        <f>INT(H7*H11+H8*H13+H10*H12+H15+H16+H17+H18+H19+H20+H9*H12)</f>
        <v>63500</v>
      </c>
      <c r="I21" s="75"/>
      <c r="J21" s="74">
        <f t="shared" ref="J21" si="0">INT(J7*J11+J8*J13+J10*J12+J15+J16+J17+J18+J19+J20)</f>
        <v>8500</v>
      </c>
      <c r="K21" s="75"/>
      <c r="L21" s="74">
        <f t="shared" ref="L21" si="1">INT(L7*L11+L8*L13+L10*L12+L15+L16+L17+L18+L19+L20)</f>
        <v>0</v>
      </c>
      <c r="M21" s="75"/>
      <c r="N21" s="74">
        <f t="shared" ref="N21" si="2">INT(N7*N11+N8*N13+N10*N12+N15+N16+N17+N18+N19+N20)</f>
        <v>0</v>
      </c>
      <c r="O21" s="75"/>
      <c r="P21" s="74">
        <f t="shared" ref="P21" si="3">INT(P7*P11+P8*P13+P10*P12+P15+P16+P17+P18+P19+P20)</f>
        <v>0</v>
      </c>
      <c r="Q21" s="75"/>
      <c r="R21" s="74">
        <f t="shared" ref="R21" si="4">INT(R7*R11+R8*R13+R10*R12+R15+R16+R17+R18+R19+R20)</f>
        <v>0</v>
      </c>
      <c r="S21" s="75"/>
      <c r="T21" s="74">
        <f t="shared" ref="T21" si="5">INT(T7*T11+T8*T13+T10*T12+T15+T16+T17+T18+T19+T20)</f>
        <v>0</v>
      </c>
      <c r="U21" s="75"/>
      <c r="V21" s="74">
        <f t="shared" ref="V21" si="6">INT(V7*V11+V8*V13+V10*V12+V15+V16+V17+V18+V19+V20)</f>
        <v>0</v>
      </c>
      <c r="W21" s="75"/>
      <c r="X21" s="74">
        <f t="shared" ref="X21" si="7">INT(X7*X11+X8*X13+X10*X12+X15+X16+X17+X18+X19+X20)</f>
        <v>0</v>
      </c>
      <c r="Y21" s="75"/>
      <c r="Z21" s="74">
        <f t="shared" ref="Z21" si="8">INT(Z7*Z11+Z8*Z13+Z10*Z12+Z15+Z16+Z17+Z18+Z19+Z20)</f>
        <v>0</v>
      </c>
      <c r="AA21" s="75"/>
      <c r="AB21" s="141">
        <f>D21+F21+H21+J21+L21+N21</f>
        <v>320764</v>
      </c>
      <c r="AC21" s="142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45"/>
      <c r="AC22" s="146"/>
    </row>
    <row r="23" spans="1:29" ht="24.75" customHeight="1" thickBot="1">
      <c r="A23" s="117" t="s">
        <v>20</v>
      </c>
      <c r="B23" s="118"/>
      <c r="C23" s="119"/>
      <c r="D23" s="105">
        <f>D21</f>
        <v>121264</v>
      </c>
      <c r="E23" s="106"/>
      <c r="F23" s="105">
        <f t="shared" ref="F23" si="9">F21+F22</f>
        <v>127500</v>
      </c>
      <c r="G23" s="106"/>
      <c r="H23" s="105">
        <f t="shared" ref="H23" si="10">H21+H22</f>
        <v>63500</v>
      </c>
      <c r="I23" s="106"/>
      <c r="J23" s="105">
        <f t="shared" ref="J23" si="11">J21+J22</f>
        <v>8500</v>
      </c>
      <c r="K23" s="106"/>
      <c r="L23" s="105">
        <f t="shared" ref="L23" si="12">L21+L22</f>
        <v>0</v>
      </c>
      <c r="M23" s="106"/>
      <c r="N23" s="105">
        <f t="shared" ref="N23" si="13">N21+N22</f>
        <v>0</v>
      </c>
      <c r="O23" s="106"/>
      <c r="P23" s="105">
        <f t="shared" ref="P23" si="14">P21+P22</f>
        <v>0</v>
      </c>
      <c r="Q23" s="106"/>
      <c r="R23" s="105">
        <f t="shared" ref="R23" si="15">R21+R22</f>
        <v>0</v>
      </c>
      <c r="S23" s="106"/>
      <c r="T23" s="105">
        <f t="shared" ref="T23" si="16">T21+T22</f>
        <v>0</v>
      </c>
      <c r="U23" s="106"/>
      <c r="V23" s="105">
        <f t="shared" ref="V23" si="17">V21+V22</f>
        <v>0</v>
      </c>
      <c r="W23" s="106"/>
      <c r="X23" s="105">
        <f t="shared" ref="X23" si="18">X21+X22</f>
        <v>0</v>
      </c>
      <c r="Y23" s="106"/>
      <c r="Z23" s="105">
        <f t="shared" ref="Z23" si="19">Z21+Z22</f>
        <v>0</v>
      </c>
      <c r="AA23" s="106"/>
      <c r="AB23" s="147">
        <f>D23+F23+H23+J23+L23+N23</f>
        <v>320764</v>
      </c>
      <c r="AC23" s="148"/>
    </row>
    <row r="24" spans="1:29" ht="24.75" customHeight="1">
      <c r="A24" s="109" t="s">
        <v>33</v>
      </c>
      <c r="B24" s="113" t="s">
        <v>34</v>
      </c>
      <c r="C24" s="114"/>
      <c r="D24" s="115"/>
      <c r="E24" s="116"/>
      <c r="F24" s="115"/>
      <c r="G24" s="116"/>
      <c r="H24" s="115">
        <f t="shared" ref="H24" si="20">H23*0.003</f>
        <v>190.5</v>
      </c>
      <c r="I24" s="116"/>
      <c r="J24" s="115"/>
      <c r="K24" s="116"/>
      <c r="L24" s="115">
        <f t="shared" ref="L24" si="21">L23*0.003</f>
        <v>0</v>
      </c>
      <c r="M24" s="116"/>
      <c r="N24" s="115">
        <f t="shared" ref="N24" si="22">N23*0.003</f>
        <v>0</v>
      </c>
      <c r="O24" s="116"/>
      <c r="P24" s="115">
        <f t="shared" ref="P24" si="23">P23*0.003</f>
        <v>0</v>
      </c>
      <c r="Q24" s="116"/>
      <c r="R24" s="115">
        <f t="shared" ref="R24" si="24">R23*0.003</f>
        <v>0</v>
      </c>
      <c r="S24" s="116"/>
      <c r="T24" s="115">
        <f t="shared" ref="T24" si="25">T23*0.003</f>
        <v>0</v>
      </c>
      <c r="U24" s="116"/>
      <c r="V24" s="115">
        <f t="shared" ref="V24" si="26">V23*0.003</f>
        <v>0</v>
      </c>
      <c r="W24" s="116"/>
      <c r="X24" s="115">
        <f t="shared" ref="X24" si="27">X23*0.003</f>
        <v>0</v>
      </c>
      <c r="Y24" s="116"/>
      <c r="Z24" s="115">
        <f t="shared" ref="Z24" si="28">Z23*0.003</f>
        <v>0</v>
      </c>
      <c r="AA24" s="116"/>
      <c r="AB24" s="150"/>
      <c r="AC24" s="151"/>
    </row>
    <row r="25" spans="1:29" ht="24.75" customHeight="1">
      <c r="A25" s="110"/>
      <c r="B25" s="94" t="s">
        <v>35</v>
      </c>
      <c r="C25" s="95"/>
      <c r="D25" s="58">
        <v>2050</v>
      </c>
      <c r="E25" s="59"/>
      <c r="F25" s="58">
        <v>2350</v>
      </c>
      <c r="G25" s="59"/>
      <c r="H25" s="58"/>
      <c r="I25" s="59"/>
      <c r="J25" s="58"/>
      <c r="K25" s="59"/>
      <c r="L25" s="58"/>
      <c r="M25" s="59"/>
      <c r="N25" s="58"/>
      <c r="O25" s="59"/>
      <c r="P25" s="58"/>
      <c r="Q25" s="59"/>
      <c r="R25" s="58"/>
      <c r="S25" s="59"/>
      <c r="T25" s="58"/>
      <c r="U25" s="59"/>
      <c r="V25" s="58"/>
      <c r="W25" s="59"/>
      <c r="X25" s="58"/>
      <c r="Y25" s="59"/>
      <c r="Z25" s="58"/>
      <c r="AA25" s="59"/>
      <c r="AB25" s="137"/>
      <c r="AC25" s="138"/>
    </row>
    <row r="26" spans="1:29" ht="24.75" customHeight="1">
      <c r="A26" s="110"/>
      <c r="B26" s="94" t="s">
        <v>47</v>
      </c>
      <c r="C26" s="95"/>
      <c r="D26" s="58"/>
      <c r="E26" s="59"/>
      <c r="F26" s="58"/>
      <c r="G26" s="59"/>
      <c r="H26" s="58"/>
      <c r="I26" s="59"/>
      <c r="J26" s="58"/>
      <c r="K26" s="59"/>
      <c r="L26" s="58"/>
      <c r="M26" s="59"/>
      <c r="N26" s="58"/>
      <c r="O26" s="59"/>
      <c r="P26" s="58"/>
      <c r="Q26" s="59"/>
      <c r="R26" s="58"/>
      <c r="S26" s="59"/>
      <c r="T26" s="58"/>
      <c r="U26" s="59"/>
      <c r="V26" s="58"/>
      <c r="W26" s="59"/>
      <c r="X26" s="58"/>
      <c r="Y26" s="59"/>
      <c r="Z26" s="58"/>
      <c r="AA26" s="59"/>
      <c r="AB26" s="137"/>
      <c r="AC26" s="138"/>
    </row>
    <row r="27" spans="1:29" ht="24.75" customHeight="1">
      <c r="A27" s="111"/>
      <c r="B27" s="94" t="s">
        <v>48</v>
      </c>
      <c r="C27" s="95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  <c r="R27" s="83"/>
      <c r="S27" s="84"/>
      <c r="T27" s="83"/>
      <c r="U27" s="84"/>
      <c r="V27" s="83"/>
      <c r="W27" s="84"/>
      <c r="X27" s="83"/>
      <c r="Y27" s="84"/>
      <c r="Z27" s="83"/>
      <c r="AA27" s="84"/>
      <c r="AB27" s="141"/>
      <c r="AC27" s="142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/>
      <c r="M28" s="102"/>
      <c r="N28" s="101"/>
      <c r="O28" s="102"/>
      <c r="P28" s="101"/>
      <c r="Q28" s="102"/>
      <c r="R28" s="101"/>
      <c r="S28" s="102"/>
      <c r="T28" s="101"/>
      <c r="U28" s="102"/>
      <c r="V28" s="101"/>
      <c r="W28" s="102"/>
      <c r="X28" s="101"/>
      <c r="Y28" s="102"/>
      <c r="Z28" s="101"/>
      <c r="AA28" s="102"/>
      <c r="AB28" s="152"/>
      <c r="AC28" s="153"/>
    </row>
    <row r="29" spans="1:29" ht="24.75" customHeight="1" thickBot="1">
      <c r="A29" s="71" t="s">
        <v>36</v>
      </c>
      <c r="B29" s="72"/>
      <c r="C29" s="73"/>
      <c r="D29" s="83">
        <f>SUM(D24:D28)</f>
        <v>2050</v>
      </c>
      <c r="E29" s="84"/>
      <c r="F29" s="83">
        <f t="shared" ref="F29" si="29">SUM(F24:F28)</f>
        <v>2350</v>
      </c>
      <c r="G29" s="84"/>
      <c r="H29" s="83">
        <f t="shared" ref="H29" si="30">SUM(H24:H28)</f>
        <v>190.5</v>
      </c>
      <c r="I29" s="84"/>
      <c r="J29" s="83">
        <f t="shared" ref="J29" si="31">SUM(J24:J28)</f>
        <v>0</v>
      </c>
      <c r="K29" s="84"/>
      <c r="L29" s="83">
        <f t="shared" ref="L29" si="32">SUM(L24:L28)</f>
        <v>0</v>
      </c>
      <c r="M29" s="84"/>
      <c r="N29" s="83">
        <f t="shared" ref="N29" si="33">SUM(N24:N28)</f>
        <v>0</v>
      </c>
      <c r="O29" s="84"/>
      <c r="P29" s="83">
        <f t="shared" ref="P29" si="34">SUM(P24:P28)</f>
        <v>0</v>
      </c>
      <c r="Q29" s="84"/>
      <c r="R29" s="83">
        <f t="shared" ref="R29" si="35">SUM(R24:R28)</f>
        <v>0</v>
      </c>
      <c r="S29" s="84"/>
      <c r="T29" s="83">
        <f t="shared" ref="T29" si="36">SUM(T24:T28)</f>
        <v>0</v>
      </c>
      <c r="U29" s="84"/>
      <c r="V29" s="83">
        <f t="shared" ref="V29" si="37">SUM(V24:V28)</f>
        <v>0</v>
      </c>
      <c r="W29" s="84"/>
      <c r="X29" s="83">
        <f t="shared" ref="X29" si="38">SUM(X24:X28)</f>
        <v>0</v>
      </c>
      <c r="Y29" s="84"/>
      <c r="Z29" s="83">
        <f t="shared" ref="Z29" si="39">SUM(Z24:Z28)</f>
        <v>0</v>
      </c>
      <c r="AA29" s="131"/>
      <c r="AB29" s="141">
        <f t="shared" ref="AB29" si="40">SUM(AB24:AB28)</f>
        <v>0</v>
      </c>
      <c r="AC29" s="142"/>
    </row>
    <row r="30" spans="1:29" ht="24.75" customHeight="1" thickTop="1" thickBot="1">
      <c r="A30" s="132" t="s">
        <v>37</v>
      </c>
      <c r="B30" s="133"/>
      <c r="C30" s="134"/>
      <c r="D30" s="126">
        <f>D23-D29</f>
        <v>119214</v>
      </c>
      <c r="E30" s="127"/>
      <c r="F30" s="126">
        <f>F23-F29</f>
        <v>125150</v>
      </c>
      <c r="G30" s="127"/>
      <c r="H30" s="126">
        <f>H23-H29</f>
        <v>63309.5</v>
      </c>
      <c r="I30" s="127"/>
      <c r="J30" s="126">
        <f>J23-J29</f>
        <v>8500</v>
      </c>
      <c r="K30" s="127"/>
      <c r="L30" s="126">
        <f>L23-L29</f>
        <v>0</v>
      </c>
      <c r="M30" s="127"/>
      <c r="N30" s="126">
        <f>N23-N29</f>
        <v>0</v>
      </c>
      <c r="O30" s="127"/>
      <c r="P30" s="126">
        <f>P23-P29</f>
        <v>0</v>
      </c>
      <c r="Q30" s="127"/>
      <c r="R30" s="126">
        <f>R23-R29</f>
        <v>0</v>
      </c>
      <c r="S30" s="127"/>
      <c r="T30" s="126">
        <f>T23-T29</f>
        <v>0</v>
      </c>
      <c r="U30" s="127"/>
      <c r="V30" s="126">
        <f>V23-V29</f>
        <v>0</v>
      </c>
      <c r="W30" s="127"/>
      <c r="X30" s="126">
        <f>X21-X29</f>
        <v>0</v>
      </c>
      <c r="Y30" s="127"/>
      <c r="Z30" s="126">
        <f>Z23-Z29</f>
        <v>0</v>
      </c>
      <c r="AA30" s="128"/>
      <c r="AB30" s="155">
        <f>D30+F30+H30+J30+L30+N30</f>
        <v>316173.5</v>
      </c>
      <c r="AC30" s="15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6CE52-7B3B-470E-869D-8A78F1485AD2}">
  <sheetPr>
    <tabColor theme="5"/>
  </sheetPr>
  <dimension ref="A1:AC30"/>
  <sheetViews>
    <sheetView topLeftCell="A4" workbookViewId="0">
      <selection activeCell="T18" sqref="T18:U1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79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176" t="s">
        <v>20</v>
      </c>
      <c r="AC6" s="177"/>
    </row>
    <row r="7" spans="1:29" ht="24.75" customHeight="1">
      <c r="A7" s="65" t="s">
        <v>40</v>
      </c>
      <c r="B7" s="66"/>
      <c r="C7" s="67"/>
      <c r="D7" s="3">
        <v>8</v>
      </c>
      <c r="E7" s="4" t="s">
        <v>21</v>
      </c>
      <c r="F7" s="3"/>
      <c r="G7" s="4" t="s">
        <v>21</v>
      </c>
      <c r="H7" s="3">
        <v>10</v>
      </c>
      <c r="I7" s="4" t="s">
        <v>21</v>
      </c>
      <c r="J7" s="3">
        <v>6</v>
      </c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30"/>
      <c r="AC7" s="31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65" t="s">
        <v>49</v>
      </c>
      <c r="B9" s="66"/>
      <c r="C9" s="67"/>
      <c r="D9" s="3">
        <v>3</v>
      </c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80" t="s">
        <v>69</v>
      </c>
      <c r="B10" s="81"/>
      <c r="C10" s="8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71" t="s">
        <v>26</v>
      </c>
      <c r="B11" s="72"/>
      <c r="C11" s="73"/>
      <c r="D11" s="74">
        <v>8000</v>
      </c>
      <c r="E11" s="75"/>
      <c r="F11" s="74">
        <v>8000</v>
      </c>
      <c r="G11" s="75"/>
      <c r="H11" s="74">
        <v>8000</v>
      </c>
      <c r="I11" s="75"/>
      <c r="J11" s="74">
        <v>8000</v>
      </c>
      <c r="K11" s="75"/>
      <c r="L11" s="74"/>
      <c r="M11" s="75"/>
      <c r="N11" s="74"/>
      <c r="O11" s="75"/>
      <c r="P11" s="74"/>
      <c r="Q11" s="75"/>
      <c r="R11" s="74"/>
      <c r="S11" s="75"/>
      <c r="T11" s="74"/>
      <c r="U11" s="75"/>
      <c r="V11" s="74"/>
      <c r="W11" s="75"/>
      <c r="X11" s="74"/>
      <c r="Y11" s="75"/>
      <c r="Z11" s="74"/>
      <c r="AA11" s="75"/>
      <c r="AB11" s="135"/>
      <c r="AC11" s="136"/>
    </row>
    <row r="12" spans="1:29" ht="24.75" customHeight="1">
      <c r="A12" s="65" t="s">
        <v>49</v>
      </c>
      <c r="B12" s="66"/>
      <c r="C12" s="67"/>
      <c r="D12" s="58">
        <v>1250</v>
      </c>
      <c r="E12" s="59"/>
      <c r="F12" s="58">
        <v>1250</v>
      </c>
      <c r="G12" s="59"/>
      <c r="H12" s="58">
        <v>1250</v>
      </c>
      <c r="I12" s="59"/>
      <c r="J12" s="58">
        <v>1250</v>
      </c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137"/>
      <c r="AC12" s="138"/>
    </row>
    <row r="13" spans="1:29" ht="24.75" customHeight="1">
      <c r="A13" s="89" t="s">
        <v>27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79"/>
      <c r="AB13" s="137"/>
      <c r="AC13" s="138"/>
    </row>
    <row r="14" spans="1:29" ht="24.75" customHeight="1" thickBot="1">
      <c r="A14" s="80" t="s">
        <v>50</v>
      </c>
      <c r="B14" s="81"/>
      <c r="C14" s="82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8"/>
      <c r="AB14" s="139"/>
      <c r="AC14" s="140"/>
    </row>
    <row r="15" spans="1:29" ht="24.75" customHeight="1" thickTop="1">
      <c r="A15" s="91" t="s">
        <v>42</v>
      </c>
      <c r="B15" s="20"/>
      <c r="C15" s="2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135"/>
      <c r="AC15" s="136"/>
    </row>
    <row r="16" spans="1:29" ht="24.75" customHeight="1">
      <c r="A16" s="92"/>
      <c r="B16" s="18"/>
      <c r="C16" s="19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37"/>
      <c r="AC16" s="138"/>
    </row>
    <row r="17" spans="1:29" ht="24.75" customHeight="1">
      <c r="A17" s="92"/>
      <c r="B17" s="18"/>
      <c r="C17" s="19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37"/>
      <c r="AC17" s="138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137"/>
      <c r="AC18" s="138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37"/>
      <c r="AC19" s="138"/>
    </row>
    <row r="20" spans="1:29" ht="24.75" customHeight="1" thickBot="1">
      <c r="A20" s="93"/>
      <c r="B20" s="52" t="s">
        <v>30</v>
      </c>
      <c r="C20" s="48"/>
      <c r="D20" s="85">
        <v>22686</v>
      </c>
      <c r="E20" s="86"/>
      <c r="F20" s="85"/>
      <c r="G20" s="86"/>
      <c r="H20" s="85">
        <v>1200</v>
      </c>
      <c r="I20" s="86"/>
      <c r="J20" s="85"/>
      <c r="K20" s="86"/>
      <c r="L20" s="85"/>
      <c r="M20" s="86"/>
      <c r="N20" s="85"/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139"/>
      <c r="AC20" s="140"/>
    </row>
    <row r="21" spans="1:29" ht="24.75" customHeight="1" thickTop="1">
      <c r="A21" s="71" t="s">
        <v>31</v>
      </c>
      <c r="B21" s="72"/>
      <c r="C21" s="73"/>
      <c r="D21" s="74">
        <f>INT(D7*D11+D8*D13+D10*D12+D15+D16+D17+D18+D19+D20+D9*D12)</f>
        <v>90436</v>
      </c>
      <c r="E21" s="75"/>
      <c r="F21" s="74">
        <f>INT(F7*F11+F8*F13+F10*F12+F15+F16+F17+F18+F19+F9*F12+F20)</f>
        <v>0</v>
      </c>
      <c r="G21" s="75"/>
      <c r="H21" s="74">
        <f>INT(H7*H11+H8*H13+H10*H12+H15+H16+H17+H18+H19+H20+H9*H12)</f>
        <v>81200</v>
      </c>
      <c r="I21" s="75"/>
      <c r="J21" s="74">
        <f t="shared" ref="J21" si="0">INT(J7*J11+J8*J13+J10*J12+J15+J16+J17+J18+J19+J20)</f>
        <v>48000</v>
      </c>
      <c r="K21" s="75"/>
      <c r="L21" s="74">
        <f t="shared" ref="L21" si="1">INT(L7*L11+L8*L13+L10*L12+L15+L16+L17+L18+L19+L20)</f>
        <v>0</v>
      </c>
      <c r="M21" s="75"/>
      <c r="N21" s="74">
        <f t="shared" ref="N21" si="2">INT(N7*N11+N8*N13+N10*N12+N15+N16+N17+N18+N19+N20)</f>
        <v>0</v>
      </c>
      <c r="O21" s="75"/>
      <c r="P21" s="74">
        <f t="shared" ref="P21" si="3">INT(P7*P11+P8*P13+P10*P12+P15+P16+P17+P18+P19+P20)</f>
        <v>0</v>
      </c>
      <c r="Q21" s="75"/>
      <c r="R21" s="74">
        <f t="shared" ref="R21" si="4">INT(R7*R11+R8*R13+R10*R12+R15+R16+R17+R18+R19+R20)</f>
        <v>0</v>
      </c>
      <c r="S21" s="75"/>
      <c r="T21" s="74">
        <f t="shared" ref="T21" si="5">INT(T7*T11+T8*T13+T10*T12+T15+T16+T17+T18+T19+T20)</f>
        <v>0</v>
      </c>
      <c r="U21" s="75"/>
      <c r="V21" s="74">
        <f t="shared" ref="V21" si="6">INT(V7*V11+V8*V13+V10*V12+V15+V16+V17+V18+V19+V20)</f>
        <v>0</v>
      </c>
      <c r="W21" s="75"/>
      <c r="X21" s="74">
        <f t="shared" ref="X21" si="7">INT(X7*X11+X8*X13+X10*X12+X15+X16+X17+X18+X19+X20)</f>
        <v>0</v>
      </c>
      <c r="Y21" s="75"/>
      <c r="Z21" s="74">
        <f t="shared" ref="Z21" si="8">INT(Z7*Z11+Z8*Z13+Z10*Z12+Z15+Z16+Z17+Z18+Z19+Z20)</f>
        <v>0</v>
      </c>
      <c r="AA21" s="75"/>
      <c r="AB21" s="141">
        <f>D21+F21+H21+J21+L21+N21</f>
        <v>219636</v>
      </c>
      <c r="AC21" s="142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45"/>
      <c r="AC22" s="146"/>
    </row>
    <row r="23" spans="1:29" ht="24.75" customHeight="1" thickBot="1">
      <c r="A23" s="117" t="s">
        <v>20</v>
      </c>
      <c r="B23" s="118"/>
      <c r="C23" s="119"/>
      <c r="D23" s="105">
        <f>D21</f>
        <v>90436</v>
      </c>
      <c r="E23" s="106"/>
      <c r="F23" s="105">
        <f t="shared" ref="F23" si="9">F21+F22</f>
        <v>0</v>
      </c>
      <c r="G23" s="106"/>
      <c r="H23" s="105">
        <f t="shared" ref="H23" si="10">H21+H22</f>
        <v>81200</v>
      </c>
      <c r="I23" s="106"/>
      <c r="J23" s="105">
        <f t="shared" ref="J23" si="11">J21+J22</f>
        <v>48000</v>
      </c>
      <c r="K23" s="106"/>
      <c r="L23" s="105">
        <f t="shared" ref="L23" si="12">L21+L22</f>
        <v>0</v>
      </c>
      <c r="M23" s="106"/>
      <c r="N23" s="105">
        <f t="shared" ref="N23" si="13">N21+N22</f>
        <v>0</v>
      </c>
      <c r="O23" s="106"/>
      <c r="P23" s="105">
        <f t="shared" ref="P23" si="14">P21+P22</f>
        <v>0</v>
      </c>
      <c r="Q23" s="106"/>
      <c r="R23" s="105">
        <f t="shared" ref="R23" si="15">R21+R22</f>
        <v>0</v>
      </c>
      <c r="S23" s="106"/>
      <c r="T23" s="105">
        <f t="shared" ref="T23" si="16">T21+T22</f>
        <v>0</v>
      </c>
      <c r="U23" s="106"/>
      <c r="V23" s="105">
        <f t="shared" ref="V23" si="17">V21+V22</f>
        <v>0</v>
      </c>
      <c r="W23" s="106"/>
      <c r="X23" s="105">
        <f t="shared" ref="X23" si="18">X21+X22</f>
        <v>0</v>
      </c>
      <c r="Y23" s="106"/>
      <c r="Z23" s="105">
        <f t="shared" ref="Z23" si="19">Z21+Z22</f>
        <v>0</v>
      </c>
      <c r="AA23" s="106"/>
      <c r="AB23" s="147">
        <f>D23+F23+H23+J23+L23+N23</f>
        <v>219636</v>
      </c>
      <c r="AC23" s="148"/>
    </row>
    <row r="24" spans="1:29" ht="24.75" customHeight="1">
      <c r="A24" s="109" t="s">
        <v>33</v>
      </c>
      <c r="B24" s="113" t="s">
        <v>34</v>
      </c>
      <c r="C24" s="114"/>
      <c r="D24" s="115"/>
      <c r="E24" s="116"/>
      <c r="F24" s="115">
        <f>F23*0.003</f>
        <v>0</v>
      </c>
      <c r="G24" s="116"/>
      <c r="H24" s="115"/>
      <c r="I24" s="116"/>
      <c r="J24" s="115"/>
      <c r="K24" s="116"/>
      <c r="L24" s="115">
        <f t="shared" ref="L24" si="20">L23*0.003</f>
        <v>0</v>
      </c>
      <c r="M24" s="116"/>
      <c r="N24" s="115">
        <f t="shared" ref="N24" si="21">N23*0.003</f>
        <v>0</v>
      </c>
      <c r="O24" s="116"/>
      <c r="P24" s="115">
        <f t="shared" ref="P24" si="22">P23*0.003</f>
        <v>0</v>
      </c>
      <c r="Q24" s="116"/>
      <c r="R24" s="115">
        <f t="shared" ref="R24" si="23">R23*0.003</f>
        <v>0</v>
      </c>
      <c r="S24" s="116"/>
      <c r="T24" s="115">
        <f t="shared" ref="T24" si="24">T23*0.003</f>
        <v>0</v>
      </c>
      <c r="U24" s="116"/>
      <c r="V24" s="115">
        <f t="shared" ref="V24" si="25">V23*0.003</f>
        <v>0</v>
      </c>
      <c r="W24" s="116"/>
      <c r="X24" s="115">
        <f t="shared" ref="X24" si="26">X23*0.003</f>
        <v>0</v>
      </c>
      <c r="Y24" s="116"/>
      <c r="Z24" s="115">
        <f t="shared" ref="Z24" si="27">Z23*0.003</f>
        <v>0</v>
      </c>
      <c r="AA24" s="116"/>
      <c r="AB24" s="150"/>
      <c r="AC24" s="151"/>
    </row>
    <row r="25" spans="1:29" ht="24.75" customHeight="1">
      <c r="A25" s="110"/>
      <c r="B25" s="94" t="s">
        <v>35</v>
      </c>
      <c r="C25" s="95"/>
      <c r="D25" s="58"/>
      <c r="E25" s="59"/>
      <c r="F25" s="58"/>
      <c r="G25" s="59"/>
      <c r="H25" s="58"/>
      <c r="I25" s="59"/>
      <c r="J25" s="58"/>
      <c r="K25" s="59"/>
      <c r="L25" s="58"/>
      <c r="M25" s="59"/>
      <c r="N25" s="58"/>
      <c r="O25" s="59"/>
      <c r="P25" s="58"/>
      <c r="Q25" s="59"/>
      <c r="R25" s="58"/>
      <c r="S25" s="59"/>
      <c r="T25" s="58"/>
      <c r="U25" s="59"/>
      <c r="V25" s="58"/>
      <c r="W25" s="59"/>
      <c r="X25" s="58"/>
      <c r="Y25" s="59"/>
      <c r="Z25" s="58"/>
      <c r="AA25" s="59"/>
      <c r="AB25" s="137"/>
      <c r="AC25" s="138"/>
    </row>
    <row r="26" spans="1:29" ht="24.75" customHeight="1">
      <c r="A26" s="110"/>
      <c r="B26" s="94" t="s">
        <v>47</v>
      </c>
      <c r="C26" s="95"/>
      <c r="D26" s="58"/>
      <c r="E26" s="59"/>
      <c r="F26" s="58"/>
      <c r="G26" s="59"/>
      <c r="H26" s="58"/>
      <c r="I26" s="59"/>
      <c r="J26" s="58"/>
      <c r="K26" s="59"/>
      <c r="L26" s="58"/>
      <c r="M26" s="59"/>
      <c r="N26" s="58"/>
      <c r="O26" s="59"/>
      <c r="P26" s="58"/>
      <c r="Q26" s="59"/>
      <c r="R26" s="58"/>
      <c r="S26" s="59"/>
      <c r="T26" s="58"/>
      <c r="U26" s="59"/>
      <c r="V26" s="58"/>
      <c r="W26" s="59"/>
      <c r="X26" s="58"/>
      <c r="Y26" s="59"/>
      <c r="Z26" s="58"/>
      <c r="AA26" s="59"/>
      <c r="AB26" s="137"/>
      <c r="AC26" s="138"/>
    </row>
    <row r="27" spans="1:29" ht="24.75" customHeight="1">
      <c r="A27" s="111"/>
      <c r="B27" s="94" t="s">
        <v>48</v>
      </c>
      <c r="C27" s="95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  <c r="R27" s="83"/>
      <c r="S27" s="84"/>
      <c r="T27" s="83"/>
      <c r="U27" s="84"/>
      <c r="V27" s="83"/>
      <c r="W27" s="84"/>
      <c r="X27" s="83"/>
      <c r="Y27" s="84"/>
      <c r="Z27" s="83"/>
      <c r="AA27" s="84"/>
      <c r="AB27" s="141"/>
      <c r="AC27" s="142"/>
    </row>
    <row r="28" spans="1:29" ht="24.75" customHeight="1" thickBot="1">
      <c r="A28" s="112"/>
      <c r="B28" s="124" t="s">
        <v>51</v>
      </c>
      <c r="C28" s="125"/>
      <c r="D28" s="101">
        <v>1750</v>
      </c>
      <c r="E28" s="102"/>
      <c r="F28" s="101"/>
      <c r="G28" s="102"/>
      <c r="H28" s="101">
        <v>1000</v>
      </c>
      <c r="I28" s="102"/>
      <c r="J28" s="101">
        <v>1250</v>
      </c>
      <c r="K28" s="102"/>
      <c r="L28" s="101"/>
      <c r="M28" s="102"/>
      <c r="N28" s="101"/>
      <c r="O28" s="102"/>
      <c r="P28" s="101"/>
      <c r="Q28" s="102"/>
      <c r="R28" s="101"/>
      <c r="S28" s="102"/>
      <c r="T28" s="101"/>
      <c r="U28" s="102"/>
      <c r="V28" s="101"/>
      <c r="W28" s="102"/>
      <c r="X28" s="101"/>
      <c r="Y28" s="102"/>
      <c r="Z28" s="101"/>
      <c r="AA28" s="102"/>
      <c r="AB28" s="152"/>
      <c r="AC28" s="153"/>
    </row>
    <row r="29" spans="1:29" ht="24.75" customHeight="1" thickBot="1">
      <c r="A29" s="71" t="s">
        <v>36</v>
      </c>
      <c r="B29" s="72"/>
      <c r="C29" s="73"/>
      <c r="D29" s="83">
        <f>SUM(D24:D28)</f>
        <v>1750</v>
      </c>
      <c r="E29" s="84"/>
      <c r="F29" s="83">
        <f t="shared" ref="F29" si="28">SUM(F24:F28)</f>
        <v>0</v>
      </c>
      <c r="G29" s="84"/>
      <c r="H29" s="83">
        <f t="shared" ref="H29" si="29">SUM(H24:H28)</f>
        <v>1000</v>
      </c>
      <c r="I29" s="84"/>
      <c r="J29" s="83">
        <f t="shared" ref="J29" si="30">SUM(J24:J28)</f>
        <v>1250</v>
      </c>
      <c r="K29" s="84"/>
      <c r="L29" s="83">
        <f t="shared" ref="L29" si="31">SUM(L24:L28)</f>
        <v>0</v>
      </c>
      <c r="M29" s="84"/>
      <c r="N29" s="83">
        <f t="shared" ref="N29" si="32">SUM(N24:N28)</f>
        <v>0</v>
      </c>
      <c r="O29" s="84"/>
      <c r="P29" s="83">
        <f t="shared" ref="P29" si="33">SUM(P24:P28)</f>
        <v>0</v>
      </c>
      <c r="Q29" s="84"/>
      <c r="R29" s="83">
        <f t="shared" ref="R29" si="34">SUM(R24:R28)</f>
        <v>0</v>
      </c>
      <c r="S29" s="84"/>
      <c r="T29" s="83">
        <f t="shared" ref="T29" si="35">SUM(T24:T28)</f>
        <v>0</v>
      </c>
      <c r="U29" s="84"/>
      <c r="V29" s="83">
        <f t="shared" ref="V29" si="36">SUM(V24:V28)</f>
        <v>0</v>
      </c>
      <c r="W29" s="84"/>
      <c r="X29" s="83">
        <f t="shared" ref="X29" si="37">SUM(X24:X28)</f>
        <v>0</v>
      </c>
      <c r="Y29" s="84"/>
      <c r="Z29" s="83">
        <f t="shared" ref="Z29" si="38">SUM(Z24:Z28)</f>
        <v>0</v>
      </c>
      <c r="AA29" s="131"/>
      <c r="AB29" s="141">
        <f t="shared" ref="AB29" si="39">SUM(AB24:AB28)</f>
        <v>0</v>
      </c>
      <c r="AC29" s="142"/>
    </row>
    <row r="30" spans="1:29" ht="24.75" customHeight="1" thickTop="1" thickBot="1">
      <c r="A30" s="132" t="s">
        <v>37</v>
      </c>
      <c r="B30" s="133"/>
      <c r="C30" s="134"/>
      <c r="D30" s="126">
        <f>D23-D29</f>
        <v>88686</v>
      </c>
      <c r="E30" s="127"/>
      <c r="F30" s="126">
        <f>F23-F29</f>
        <v>0</v>
      </c>
      <c r="G30" s="127"/>
      <c r="H30" s="126">
        <f>H23-H29</f>
        <v>80200</v>
      </c>
      <c r="I30" s="127"/>
      <c r="J30" s="126">
        <f>J23-J29</f>
        <v>46750</v>
      </c>
      <c r="K30" s="127"/>
      <c r="L30" s="126">
        <f>L23-L29</f>
        <v>0</v>
      </c>
      <c r="M30" s="127"/>
      <c r="N30" s="126">
        <f>N23-N29</f>
        <v>0</v>
      </c>
      <c r="O30" s="127"/>
      <c r="P30" s="126">
        <f>P23-P29</f>
        <v>0</v>
      </c>
      <c r="Q30" s="127"/>
      <c r="R30" s="126">
        <f>R23-R29</f>
        <v>0</v>
      </c>
      <c r="S30" s="127"/>
      <c r="T30" s="126">
        <f>T23-T29</f>
        <v>0</v>
      </c>
      <c r="U30" s="127"/>
      <c r="V30" s="126">
        <f>V23-V29</f>
        <v>0</v>
      </c>
      <c r="W30" s="127"/>
      <c r="X30" s="126">
        <f>X21-X29</f>
        <v>0</v>
      </c>
      <c r="Y30" s="127"/>
      <c r="Z30" s="126">
        <f>Z23-Z29</f>
        <v>0</v>
      </c>
      <c r="AA30" s="128"/>
      <c r="AB30" s="155">
        <f>D30+F30+H30+J30+L30+N30</f>
        <v>215636</v>
      </c>
      <c r="AC30" s="15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7D840-7EEC-4239-B0B3-6553E180856E}">
  <sheetPr>
    <tabColor theme="5"/>
  </sheetPr>
  <dimension ref="A1:AF30"/>
  <sheetViews>
    <sheetView topLeftCell="A6" workbookViewId="0">
      <selection activeCell="H26" sqref="H26:I26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31" width="5.625" style="1"/>
    <col min="32" max="32" width="8" style="1" bestFit="1" customWidth="1"/>
    <col min="33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80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176" t="s">
        <v>20</v>
      </c>
      <c r="AC6" s="177"/>
    </row>
    <row r="7" spans="1:29" ht="24.75" customHeight="1">
      <c r="A7" s="65" t="s">
        <v>40</v>
      </c>
      <c r="B7" s="66"/>
      <c r="C7" s="67"/>
      <c r="D7" s="3">
        <v>5</v>
      </c>
      <c r="E7" s="4" t="s">
        <v>21</v>
      </c>
      <c r="F7" s="3">
        <v>11</v>
      </c>
      <c r="G7" s="4" t="s">
        <v>21</v>
      </c>
      <c r="H7" s="3">
        <v>4</v>
      </c>
      <c r="I7" s="4" t="s">
        <v>21</v>
      </c>
      <c r="J7" s="3">
        <v>2</v>
      </c>
      <c r="K7" s="4" t="s">
        <v>21</v>
      </c>
      <c r="L7" s="3">
        <v>0</v>
      </c>
      <c r="M7" s="4" t="s">
        <v>21</v>
      </c>
      <c r="N7" s="3">
        <v>2</v>
      </c>
      <c r="O7" s="4" t="s">
        <v>21</v>
      </c>
      <c r="P7" s="3">
        <v>6</v>
      </c>
      <c r="Q7" s="4" t="s">
        <v>21</v>
      </c>
      <c r="R7" s="3">
        <v>11</v>
      </c>
      <c r="S7" s="4" t="s">
        <v>21</v>
      </c>
      <c r="T7" s="3">
        <v>4</v>
      </c>
      <c r="U7" s="4" t="s">
        <v>21</v>
      </c>
      <c r="V7" s="3">
        <v>6</v>
      </c>
      <c r="W7" s="4" t="s">
        <v>21</v>
      </c>
      <c r="X7" s="3">
        <v>11</v>
      </c>
      <c r="Y7" s="4" t="s">
        <v>21</v>
      </c>
      <c r="Z7" s="3">
        <v>1</v>
      </c>
      <c r="AA7" s="4" t="s">
        <v>21</v>
      </c>
      <c r="AB7" s="30"/>
      <c r="AC7" s="31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>
        <v>27</v>
      </c>
      <c r="U9" s="4" t="s">
        <v>22</v>
      </c>
      <c r="V9" s="3">
        <v>23</v>
      </c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80" t="s">
        <v>69</v>
      </c>
      <c r="B10" s="81"/>
      <c r="C10" s="8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71" t="s">
        <v>26</v>
      </c>
      <c r="B11" s="72"/>
      <c r="C11" s="73"/>
      <c r="D11" s="74">
        <v>8000</v>
      </c>
      <c r="E11" s="75"/>
      <c r="F11" s="74">
        <v>8000</v>
      </c>
      <c r="G11" s="75"/>
      <c r="H11" s="74">
        <v>8000</v>
      </c>
      <c r="I11" s="75"/>
      <c r="J11" s="74">
        <v>8000</v>
      </c>
      <c r="K11" s="75"/>
      <c r="L11" s="74">
        <v>8000</v>
      </c>
      <c r="M11" s="75"/>
      <c r="N11" s="74">
        <v>8000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5"/>
      <c r="AB11" s="135"/>
      <c r="AC11" s="136"/>
    </row>
    <row r="12" spans="1:29" ht="24.75" customHeight="1">
      <c r="A12" s="65" t="s">
        <v>49</v>
      </c>
      <c r="B12" s="66"/>
      <c r="C12" s="67"/>
      <c r="D12" s="58">
        <v>1250</v>
      </c>
      <c r="E12" s="59"/>
      <c r="F12" s="58">
        <v>1250</v>
      </c>
      <c r="G12" s="59"/>
      <c r="H12" s="58">
        <v>1250</v>
      </c>
      <c r="I12" s="59"/>
      <c r="J12" s="58">
        <v>1250</v>
      </c>
      <c r="K12" s="59"/>
      <c r="L12" s="58">
        <v>1250</v>
      </c>
      <c r="M12" s="59"/>
      <c r="N12" s="58">
        <v>1250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59"/>
      <c r="AB12" s="137"/>
      <c r="AC12" s="138"/>
    </row>
    <row r="13" spans="1:29" ht="24.75" customHeight="1">
      <c r="A13" s="89" t="s">
        <v>27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79"/>
      <c r="AB13" s="137"/>
      <c r="AC13" s="138"/>
    </row>
    <row r="14" spans="1:29" ht="24.75" customHeight="1" thickBot="1">
      <c r="A14" s="80" t="s">
        <v>50</v>
      </c>
      <c r="B14" s="81"/>
      <c r="C14" s="82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8"/>
      <c r="AB14" s="139"/>
      <c r="AC14" s="140"/>
    </row>
    <row r="15" spans="1:29" ht="24.75" customHeight="1" thickTop="1">
      <c r="A15" s="91" t="s">
        <v>42</v>
      </c>
      <c r="B15" s="20" t="s">
        <v>114</v>
      </c>
      <c r="C15" s="2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>
        <v>300</v>
      </c>
      <c r="Q15" s="75"/>
      <c r="R15" s="74">
        <v>1650</v>
      </c>
      <c r="S15" s="75"/>
      <c r="T15" s="74">
        <v>600</v>
      </c>
      <c r="U15" s="75"/>
      <c r="V15" s="74">
        <v>900</v>
      </c>
      <c r="W15" s="75"/>
      <c r="X15" s="74">
        <v>1650</v>
      </c>
      <c r="Y15" s="75"/>
      <c r="Z15" s="74">
        <v>150</v>
      </c>
      <c r="AA15" s="75"/>
      <c r="AB15" s="135"/>
      <c r="AC15" s="136"/>
    </row>
    <row r="16" spans="1:29" ht="24.75" customHeight="1">
      <c r="A16" s="92"/>
      <c r="B16" s="18"/>
      <c r="C16" s="19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37"/>
      <c r="AC16" s="138"/>
    </row>
    <row r="17" spans="1:32" ht="24.75" customHeight="1">
      <c r="A17" s="92"/>
      <c r="B17" s="18" t="s">
        <v>115</v>
      </c>
      <c r="C17" s="19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>
        <v>60000</v>
      </c>
      <c r="O17" s="59"/>
      <c r="P17" s="58">
        <v>40000</v>
      </c>
      <c r="Q17" s="59"/>
      <c r="R17" s="58">
        <v>0</v>
      </c>
      <c r="S17" s="59"/>
      <c r="T17" s="58">
        <v>0</v>
      </c>
      <c r="U17" s="59"/>
      <c r="V17" s="58">
        <v>0</v>
      </c>
      <c r="W17" s="59"/>
      <c r="X17" s="58">
        <v>0</v>
      </c>
      <c r="Y17" s="59"/>
      <c r="Z17" s="58"/>
      <c r="AA17" s="59"/>
      <c r="AB17" s="137"/>
      <c r="AC17" s="138"/>
    </row>
    <row r="18" spans="1:32" ht="24.75" customHeight="1">
      <c r="A18" s="92"/>
      <c r="B18" s="94" t="s">
        <v>28</v>
      </c>
      <c r="C18" s="95"/>
      <c r="D18" s="58">
        <v>1830</v>
      </c>
      <c r="E18" s="59"/>
      <c r="F18" s="58">
        <v>2044</v>
      </c>
      <c r="G18" s="59"/>
      <c r="H18" s="58">
        <v>1906</v>
      </c>
      <c r="I18" s="59"/>
      <c r="J18" s="58">
        <v>294</v>
      </c>
      <c r="K18" s="59"/>
      <c r="L18" s="58">
        <v>0</v>
      </c>
      <c r="M18" s="59"/>
      <c r="N18" s="58">
        <v>1200</v>
      </c>
      <c r="O18" s="59"/>
      <c r="P18" s="58">
        <v>800</v>
      </c>
      <c r="Q18" s="59"/>
      <c r="R18" s="58">
        <v>0</v>
      </c>
      <c r="S18" s="59"/>
      <c r="T18" s="58">
        <v>0</v>
      </c>
      <c r="U18" s="59"/>
      <c r="V18" s="58">
        <v>0</v>
      </c>
      <c r="W18" s="59"/>
      <c r="X18" s="58">
        <v>0</v>
      </c>
      <c r="Y18" s="59"/>
      <c r="Z18" s="58"/>
      <c r="AA18" s="59"/>
      <c r="AB18" s="137"/>
      <c r="AC18" s="138"/>
    </row>
    <row r="19" spans="1:32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37"/>
      <c r="AC19" s="138"/>
      <c r="AF19" s="1">
        <f>5000*12</f>
        <v>60000</v>
      </c>
    </row>
    <row r="20" spans="1:32" ht="24.75" customHeight="1" thickBot="1">
      <c r="A20" s="93"/>
      <c r="B20" s="52" t="s">
        <v>30</v>
      </c>
      <c r="C20" s="48"/>
      <c r="D20" s="85">
        <v>50686</v>
      </c>
      <c r="E20" s="86"/>
      <c r="F20" s="85">
        <v>10000</v>
      </c>
      <c r="G20" s="86"/>
      <c r="H20" s="85">
        <v>30000</v>
      </c>
      <c r="I20" s="86"/>
      <c r="J20" s="85">
        <v>35000</v>
      </c>
      <c r="K20" s="86"/>
      <c r="L20" s="85"/>
      <c r="M20" s="86"/>
      <c r="N20" s="85"/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139"/>
      <c r="AC20" s="140"/>
    </row>
    <row r="21" spans="1:32" ht="24.75" customHeight="1" thickTop="1">
      <c r="A21" s="71" t="s">
        <v>31</v>
      </c>
      <c r="B21" s="72"/>
      <c r="C21" s="73"/>
      <c r="D21" s="74">
        <f>INT(D7*D11+D8*D13+D10*D12+D15+D16+D17+D18+D19+D20+D9*D12)</f>
        <v>92516</v>
      </c>
      <c r="E21" s="75"/>
      <c r="F21" s="74">
        <f>INT(F7*F11+F8*F13+F10*F12+F15+F16+F17+F18+F19+F9*F12+F20)</f>
        <v>100044</v>
      </c>
      <c r="G21" s="75"/>
      <c r="H21" s="74">
        <f>H7*H11+H18+H20</f>
        <v>63906</v>
      </c>
      <c r="I21" s="75"/>
      <c r="J21" s="74">
        <f>J7*J11</f>
        <v>16000</v>
      </c>
      <c r="K21" s="75"/>
      <c r="L21" s="74">
        <f t="shared" ref="L21" si="0">INT(L7*L11+L8*L13+L10*L12+L15+L16+L17+L18+L19+L20)</f>
        <v>0</v>
      </c>
      <c r="M21" s="75"/>
      <c r="N21" s="74">
        <f t="shared" ref="N21" si="1">INT(N7*N11+N8*N13+N10*N12+N15+N16+N17+N18+N19+N20)</f>
        <v>77200</v>
      </c>
      <c r="O21" s="75"/>
      <c r="P21" s="74">
        <f t="shared" ref="P21" si="2">INT(P7*P11+P8*P13+P10*P12+P15+P16+P17+P18+P19+P20)</f>
        <v>89100</v>
      </c>
      <c r="Q21" s="75"/>
      <c r="R21" s="74">
        <f t="shared" ref="R21" si="3">INT(R7*R11+R8*R13+R10*R12+R15+R16+R17+R18+R19+R20)</f>
        <v>89650</v>
      </c>
      <c r="S21" s="75"/>
      <c r="T21" s="74">
        <f>INT(T7*T11+T8*T13+T9*T12+T15+T16+T17+T18+T19+T20)</f>
        <v>66350</v>
      </c>
      <c r="U21" s="75"/>
      <c r="V21" s="74">
        <f>INT(V7*V11+V8*V13+V9*V12+V15+V16+V17+V18+V19+V20)</f>
        <v>77650</v>
      </c>
      <c r="W21" s="75"/>
      <c r="X21" s="74">
        <f t="shared" ref="X21" si="4">INT(X7*X11+X8*X13+X10*X12+X15+X16+X17+X18+X19+X20)</f>
        <v>89650</v>
      </c>
      <c r="Y21" s="75"/>
      <c r="Z21" s="74">
        <f t="shared" ref="Z21" si="5">INT(Z7*Z11+Z8*Z13+Z10*Z12+Z15+Z16+Z17+Z18+Z19+Z20)</f>
        <v>8150</v>
      </c>
      <c r="AA21" s="75"/>
      <c r="AB21" s="141">
        <f>D21+F21+H21+J21+L21+N21</f>
        <v>349666</v>
      </c>
      <c r="AC21" s="142"/>
    </row>
    <row r="22" spans="1:32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45"/>
      <c r="AC22" s="146"/>
    </row>
    <row r="23" spans="1:32" ht="24.75" customHeight="1" thickBot="1">
      <c r="A23" s="117" t="s">
        <v>20</v>
      </c>
      <c r="B23" s="118"/>
      <c r="C23" s="119"/>
      <c r="D23" s="105">
        <f>D7*D11+D18+D20</f>
        <v>92516</v>
      </c>
      <c r="E23" s="106"/>
      <c r="F23" s="105">
        <f t="shared" ref="F23" si="6">F21+F22</f>
        <v>100044</v>
      </c>
      <c r="G23" s="106"/>
      <c r="H23" s="105">
        <f t="shared" ref="H23" si="7">H21+H22</f>
        <v>63906</v>
      </c>
      <c r="I23" s="106"/>
      <c r="J23" s="105">
        <f t="shared" ref="J23" si="8">J21+J22</f>
        <v>16000</v>
      </c>
      <c r="K23" s="106"/>
      <c r="L23" s="105">
        <f t="shared" ref="L23" si="9">L21+L22</f>
        <v>0</v>
      </c>
      <c r="M23" s="106"/>
      <c r="N23" s="105">
        <f t="shared" ref="N23" si="10">N21+N22</f>
        <v>77200</v>
      </c>
      <c r="O23" s="106"/>
      <c r="P23" s="105">
        <f t="shared" ref="P23" si="11">P21+P22</f>
        <v>89100</v>
      </c>
      <c r="Q23" s="106"/>
      <c r="R23" s="105">
        <f t="shared" ref="R23" si="12">R21+R22</f>
        <v>89650</v>
      </c>
      <c r="S23" s="106"/>
      <c r="T23" s="105">
        <f t="shared" ref="T23" si="13">T21+T22</f>
        <v>66350</v>
      </c>
      <c r="U23" s="106"/>
      <c r="V23" s="105">
        <f t="shared" ref="V23" si="14">V21+V22</f>
        <v>77650</v>
      </c>
      <c r="W23" s="106"/>
      <c r="X23" s="105">
        <f t="shared" ref="X23" si="15">X21+X22</f>
        <v>89650</v>
      </c>
      <c r="Y23" s="106"/>
      <c r="Z23" s="105">
        <f t="shared" ref="Z23" si="16">Z21+Z22</f>
        <v>8150</v>
      </c>
      <c r="AA23" s="106"/>
      <c r="AB23" s="147">
        <f>D23+F23+H23+J23+L23+N23</f>
        <v>349666</v>
      </c>
      <c r="AC23" s="148"/>
    </row>
    <row r="24" spans="1:32" ht="24.75" customHeight="1">
      <c r="A24" s="109" t="s">
        <v>33</v>
      </c>
      <c r="B24" s="113" t="s">
        <v>34</v>
      </c>
      <c r="C24" s="114"/>
      <c r="D24" s="115">
        <v>0</v>
      </c>
      <c r="E24" s="116"/>
      <c r="F24" s="115">
        <v>0</v>
      </c>
      <c r="G24" s="116"/>
      <c r="H24" s="115">
        <v>192</v>
      </c>
      <c r="I24" s="116"/>
      <c r="J24" s="115">
        <f>J23*0.003</f>
        <v>48</v>
      </c>
      <c r="K24" s="116"/>
      <c r="L24" s="115">
        <f t="shared" ref="L24" si="17">L23*0.003</f>
        <v>0</v>
      </c>
      <c r="M24" s="116"/>
      <c r="N24" s="115">
        <f t="shared" ref="N24" si="18">N23*0.003</f>
        <v>231.6</v>
      </c>
      <c r="O24" s="116"/>
      <c r="P24" s="115">
        <f t="shared" ref="P24" si="19">P23*0.003</f>
        <v>267.3</v>
      </c>
      <c r="Q24" s="116"/>
      <c r="R24" s="115">
        <f t="shared" ref="R24" si="20">R23*0.003</f>
        <v>268.95</v>
      </c>
      <c r="S24" s="116"/>
      <c r="T24" s="115">
        <f t="shared" ref="T24" si="21">T23*0.003</f>
        <v>199.05</v>
      </c>
      <c r="U24" s="116"/>
      <c r="V24" s="115">
        <f t="shared" ref="V24" si="22">V23*0.003</f>
        <v>232.95000000000002</v>
      </c>
      <c r="W24" s="116"/>
      <c r="X24" s="115">
        <f t="shared" ref="X24" si="23">X23*0.003</f>
        <v>268.95</v>
      </c>
      <c r="Y24" s="116"/>
      <c r="Z24" s="115">
        <f t="shared" ref="Z24" si="24">Z23*0.003</f>
        <v>24.45</v>
      </c>
      <c r="AA24" s="116"/>
      <c r="AB24" s="150"/>
      <c r="AC24" s="151"/>
    </row>
    <row r="25" spans="1:32" ht="24.75" customHeight="1">
      <c r="A25" s="110"/>
      <c r="B25" s="94" t="s">
        <v>35</v>
      </c>
      <c r="C25" s="95"/>
      <c r="D25" s="58">
        <v>340</v>
      </c>
      <c r="E25" s="59"/>
      <c r="F25" s="58">
        <v>830</v>
      </c>
      <c r="G25" s="59"/>
      <c r="H25" s="58">
        <v>0</v>
      </c>
      <c r="I25" s="59"/>
      <c r="J25" s="58">
        <v>0</v>
      </c>
      <c r="K25" s="59"/>
      <c r="L25" s="58">
        <v>0</v>
      </c>
      <c r="M25" s="59"/>
      <c r="N25" s="58">
        <v>0</v>
      </c>
      <c r="O25" s="59"/>
      <c r="P25" s="58">
        <v>0</v>
      </c>
      <c r="Q25" s="59"/>
      <c r="R25" s="58">
        <v>350</v>
      </c>
      <c r="S25" s="59"/>
      <c r="T25" s="58">
        <v>0</v>
      </c>
      <c r="U25" s="59"/>
      <c r="V25" s="58">
        <v>0</v>
      </c>
      <c r="W25" s="59"/>
      <c r="X25" s="58">
        <v>180</v>
      </c>
      <c r="Y25" s="59"/>
      <c r="Z25" s="58">
        <v>0</v>
      </c>
      <c r="AA25" s="59"/>
      <c r="AB25" s="137"/>
      <c r="AC25" s="138"/>
    </row>
    <row r="26" spans="1:32" ht="24.75" customHeight="1">
      <c r="A26" s="110"/>
      <c r="B26" s="94" t="s">
        <v>47</v>
      </c>
      <c r="C26" s="95"/>
      <c r="D26" s="58">
        <v>0</v>
      </c>
      <c r="E26" s="59"/>
      <c r="F26" s="58">
        <v>0</v>
      </c>
      <c r="G26" s="59"/>
      <c r="H26" s="58">
        <v>0</v>
      </c>
      <c r="I26" s="59"/>
      <c r="J26" s="58">
        <v>0</v>
      </c>
      <c r="K26" s="59"/>
      <c r="L26" s="58">
        <v>0</v>
      </c>
      <c r="M26" s="59"/>
      <c r="N26" s="58">
        <v>0</v>
      </c>
      <c r="O26" s="59"/>
      <c r="P26" s="58">
        <v>0</v>
      </c>
      <c r="Q26" s="59"/>
      <c r="R26" s="58">
        <v>0</v>
      </c>
      <c r="S26" s="59"/>
      <c r="T26" s="58">
        <v>0</v>
      </c>
      <c r="U26" s="59"/>
      <c r="V26" s="58">
        <v>0</v>
      </c>
      <c r="W26" s="59"/>
      <c r="X26" s="58">
        <v>0</v>
      </c>
      <c r="Y26" s="59"/>
      <c r="Z26" s="58">
        <v>0</v>
      </c>
      <c r="AA26" s="59"/>
      <c r="AB26" s="137"/>
      <c r="AC26" s="138"/>
    </row>
    <row r="27" spans="1:32" ht="24.75" customHeight="1">
      <c r="A27" s="111"/>
      <c r="B27" s="94" t="s">
        <v>48</v>
      </c>
      <c r="C27" s="95"/>
      <c r="D27" s="83">
        <v>0</v>
      </c>
      <c r="E27" s="84"/>
      <c r="F27" s="83">
        <v>0</v>
      </c>
      <c r="G27" s="84"/>
      <c r="H27" s="83">
        <v>0</v>
      </c>
      <c r="I27" s="84"/>
      <c r="J27" s="83">
        <v>0</v>
      </c>
      <c r="K27" s="84"/>
      <c r="L27" s="83">
        <v>0</v>
      </c>
      <c r="M27" s="84"/>
      <c r="N27" s="83">
        <v>0</v>
      </c>
      <c r="O27" s="84"/>
      <c r="P27" s="83">
        <v>0</v>
      </c>
      <c r="Q27" s="84"/>
      <c r="R27" s="83">
        <v>0</v>
      </c>
      <c r="S27" s="84"/>
      <c r="T27" s="83">
        <v>0</v>
      </c>
      <c r="U27" s="84"/>
      <c r="V27" s="83">
        <v>0</v>
      </c>
      <c r="W27" s="84"/>
      <c r="X27" s="83">
        <v>0</v>
      </c>
      <c r="Y27" s="84"/>
      <c r="Z27" s="83">
        <v>0</v>
      </c>
      <c r="AA27" s="84"/>
      <c r="AB27" s="141"/>
      <c r="AC27" s="142"/>
    </row>
    <row r="28" spans="1:32" ht="24.75" customHeight="1" thickBot="1">
      <c r="A28" s="112"/>
      <c r="B28" s="124" t="s">
        <v>51</v>
      </c>
      <c r="C28" s="125"/>
      <c r="D28" s="101">
        <v>0</v>
      </c>
      <c r="E28" s="102"/>
      <c r="F28" s="101">
        <v>0</v>
      </c>
      <c r="G28" s="102"/>
      <c r="H28" s="101">
        <v>0</v>
      </c>
      <c r="I28" s="102"/>
      <c r="J28" s="101">
        <v>0</v>
      </c>
      <c r="K28" s="102"/>
      <c r="L28" s="101">
        <v>0</v>
      </c>
      <c r="M28" s="102"/>
      <c r="N28" s="101">
        <v>0</v>
      </c>
      <c r="O28" s="102"/>
      <c r="P28" s="101">
        <v>0</v>
      </c>
      <c r="Q28" s="102"/>
      <c r="R28" s="101">
        <v>0</v>
      </c>
      <c r="S28" s="102"/>
      <c r="T28" s="101">
        <v>0</v>
      </c>
      <c r="U28" s="102"/>
      <c r="V28" s="101">
        <v>0</v>
      </c>
      <c r="W28" s="102"/>
      <c r="X28" s="101">
        <v>0</v>
      </c>
      <c r="Y28" s="102"/>
      <c r="Z28" s="101">
        <v>0</v>
      </c>
      <c r="AA28" s="102"/>
      <c r="AB28" s="152"/>
      <c r="AC28" s="153"/>
    </row>
    <row r="29" spans="1:32" ht="24.75" customHeight="1" thickBot="1">
      <c r="A29" s="71" t="s">
        <v>36</v>
      </c>
      <c r="B29" s="72"/>
      <c r="C29" s="73"/>
      <c r="D29" s="83">
        <f>SUM(D24:D28)</f>
        <v>340</v>
      </c>
      <c r="E29" s="84"/>
      <c r="F29" s="83">
        <f t="shared" ref="F29" si="25">SUM(F24:F28)</f>
        <v>830</v>
      </c>
      <c r="G29" s="84"/>
      <c r="H29" s="83">
        <f t="shared" ref="H29" si="26">SUM(H24:H28)</f>
        <v>192</v>
      </c>
      <c r="I29" s="84"/>
      <c r="J29" s="83">
        <f t="shared" ref="J29" si="27">SUM(J24:J28)</f>
        <v>48</v>
      </c>
      <c r="K29" s="84"/>
      <c r="L29" s="83">
        <f t="shared" ref="L29" si="28">SUM(L24:L28)</f>
        <v>0</v>
      </c>
      <c r="M29" s="84"/>
      <c r="N29" s="83">
        <f t="shared" ref="N29" si="29">SUM(N24:N28)</f>
        <v>231.6</v>
      </c>
      <c r="O29" s="84"/>
      <c r="P29" s="83">
        <f t="shared" ref="P29" si="30">SUM(P24:P28)</f>
        <v>267.3</v>
      </c>
      <c r="Q29" s="84"/>
      <c r="R29" s="83">
        <f t="shared" ref="R29" si="31">SUM(R24:R28)</f>
        <v>618.95000000000005</v>
      </c>
      <c r="S29" s="84"/>
      <c r="T29" s="83">
        <f t="shared" ref="T29" si="32">SUM(T24:T28)</f>
        <v>199.05</v>
      </c>
      <c r="U29" s="84"/>
      <c r="V29" s="83">
        <f t="shared" ref="V29" si="33">SUM(V24:V28)</f>
        <v>232.95000000000002</v>
      </c>
      <c r="W29" s="84"/>
      <c r="X29" s="83">
        <f t="shared" ref="X29" si="34">SUM(X24:X28)</f>
        <v>448.95</v>
      </c>
      <c r="Y29" s="84"/>
      <c r="Z29" s="83">
        <f t="shared" ref="Z29" si="35">SUM(Z24:Z28)</f>
        <v>24.45</v>
      </c>
      <c r="AA29" s="131"/>
      <c r="AB29" s="141">
        <f t="shared" ref="AB29" si="36">SUM(AB24:AB28)</f>
        <v>0</v>
      </c>
      <c r="AC29" s="142"/>
    </row>
    <row r="30" spans="1:32" ht="24.75" customHeight="1" thickTop="1" thickBot="1">
      <c r="A30" s="132" t="s">
        <v>37</v>
      </c>
      <c r="B30" s="133"/>
      <c r="C30" s="134"/>
      <c r="D30" s="126">
        <f>D23-D29</f>
        <v>92176</v>
      </c>
      <c r="E30" s="127"/>
      <c r="F30" s="126">
        <f>F23-F29</f>
        <v>99214</v>
      </c>
      <c r="G30" s="127"/>
      <c r="H30" s="126">
        <f>H23-H29</f>
        <v>63714</v>
      </c>
      <c r="I30" s="127"/>
      <c r="J30" s="126">
        <f>J23-J29</f>
        <v>15952</v>
      </c>
      <c r="K30" s="127"/>
      <c r="L30" s="126">
        <f>L23-L29</f>
        <v>0</v>
      </c>
      <c r="M30" s="127"/>
      <c r="N30" s="126">
        <f>N23-N29</f>
        <v>76968.399999999994</v>
      </c>
      <c r="O30" s="127"/>
      <c r="P30" s="126">
        <f>P23-P29</f>
        <v>88832.7</v>
      </c>
      <c r="Q30" s="127"/>
      <c r="R30" s="126">
        <f>R23-R29</f>
        <v>89031.05</v>
      </c>
      <c r="S30" s="127"/>
      <c r="T30" s="126">
        <f>T23-T29</f>
        <v>66150.95</v>
      </c>
      <c r="U30" s="127"/>
      <c r="V30" s="126">
        <f>V23-V29</f>
        <v>77417.05</v>
      </c>
      <c r="W30" s="127"/>
      <c r="X30" s="126">
        <f>X21-X29</f>
        <v>89201.05</v>
      </c>
      <c r="Y30" s="127"/>
      <c r="Z30" s="126">
        <f>Z23-Z29</f>
        <v>8125.55</v>
      </c>
      <c r="AA30" s="128"/>
      <c r="AB30" s="155">
        <f>D30+F30+H30+J30+L30+N30</f>
        <v>348024.4</v>
      </c>
      <c r="AC30" s="15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80AF6-B3F1-4C49-9FC3-11EE1EC39170}">
  <sheetPr>
    <tabColor theme="5"/>
  </sheetPr>
  <dimension ref="A1:AE30"/>
  <sheetViews>
    <sheetView workbookViewId="0">
      <selection activeCell="P17" sqref="P17:Q1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30" width="5.625" style="1"/>
    <col min="31" max="31" width="8" style="1" bestFit="1" customWidth="1"/>
    <col min="32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97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176" t="s">
        <v>20</v>
      </c>
      <c r="AC6" s="177"/>
    </row>
    <row r="7" spans="1:29" ht="24.75" customHeight="1">
      <c r="A7" s="65" t="s">
        <v>40</v>
      </c>
      <c r="B7" s="66"/>
      <c r="C7" s="67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>
        <v>1</v>
      </c>
      <c r="M7" s="4" t="s">
        <v>21</v>
      </c>
      <c r="N7" s="3">
        <v>9</v>
      </c>
      <c r="O7" s="4" t="s">
        <v>21</v>
      </c>
      <c r="P7" s="3">
        <v>20</v>
      </c>
      <c r="Q7" s="4" t="s">
        <v>21</v>
      </c>
      <c r="R7" s="3">
        <v>23</v>
      </c>
      <c r="S7" s="4" t="s">
        <v>21</v>
      </c>
      <c r="T7" s="3">
        <v>18</v>
      </c>
      <c r="U7" s="4" t="s">
        <v>21</v>
      </c>
      <c r="V7" s="3">
        <v>12</v>
      </c>
      <c r="W7" s="4" t="s">
        <v>21</v>
      </c>
      <c r="X7" s="3">
        <v>20</v>
      </c>
      <c r="Y7" s="4" t="s">
        <v>21</v>
      </c>
      <c r="Z7" s="3">
        <v>5</v>
      </c>
      <c r="AA7" s="4" t="s">
        <v>21</v>
      </c>
      <c r="AB7" s="30"/>
      <c r="AC7" s="31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1</v>
      </c>
      <c r="S8" s="4" t="s">
        <v>21</v>
      </c>
      <c r="T8" s="3"/>
      <c r="U8" s="4" t="s">
        <v>21</v>
      </c>
      <c r="V8" s="3">
        <v>7</v>
      </c>
      <c r="W8" s="4" t="s">
        <v>21</v>
      </c>
      <c r="X8" s="3">
        <v>1</v>
      </c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3</v>
      </c>
      <c r="S9" s="4" t="s">
        <v>22</v>
      </c>
      <c r="T9" s="3">
        <v>3</v>
      </c>
      <c r="U9" s="4" t="s">
        <v>22</v>
      </c>
      <c r="V9" s="3">
        <v>3</v>
      </c>
      <c r="W9" s="4" t="s">
        <v>22</v>
      </c>
      <c r="X9" s="3">
        <v>2.5</v>
      </c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80" t="s">
        <v>69</v>
      </c>
      <c r="B10" s="81"/>
      <c r="C10" s="8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3</v>
      </c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71" t="s">
        <v>26</v>
      </c>
      <c r="B11" s="72"/>
      <c r="C11" s="73"/>
      <c r="D11" s="74"/>
      <c r="E11" s="75"/>
      <c r="F11" s="74"/>
      <c r="G11" s="75"/>
      <c r="H11" s="74"/>
      <c r="I11" s="75"/>
      <c r="J11" s="74"/>
      <c r="K11" s="75"/>
      <c r="L11" s="74">
        <v>8000</v>
      </c>
      <c r="M11" s="75"/>
      <c r="N11" s="74">
        <v>8000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7"/>
      <c r="AB11" s="135"/>
      <c r="AC11" s="136"/>
    </row>
    <row r="12" spans="1:29" ht="24.75" customHeight="1">
      <c r="A12" s="65" t="s">
        <v>49</v>
      </c>
      <c r="B12" s="66"/>
      <c r="C12" s="67"/>
      <c r="D12" s="58"/>
      <c r="E12" s="59"/>
      <c r="F12" s="58"/>
      <c r="G12" s="59"/>
      <c r="H12" s="58"/>
      <c r="I12" s="59"/>
      <c r="J12" s="58"/>
      <c r="K12" s="59"/>
      <c r="L12" s="58">
        <v>1250</v>
      </c>
      <c r="M12" s="59"/>
      <c r="N12" s="58">
        <v>1250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79"/>
      <c r="AB12" s="137"/>
      <c r="AC12" s="138"/>
    </row>
    <row r="13" spans="1:29" ht="24.75" customHeight="1">
      <c r="A13" s="89" t="s">
        <v>27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>
        <v>10000</v>
      </c>
      <c r="M13" s="59"/>
      <c r="N13" s="58">
        <v>10000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79"/>
      <c r="AB13" s="137"/>
      <c r="AC13" s="138"/>
    </row>
    <row r="14" spans="1:29" ht="24.75" customHeight="1" thickBot="1">
      <c r="A14" s="80" t="s">
        <v>50</v>
      </c>
      <c r="B14" s="81"/>
      <c r="C14" s="82"/>
      <c r="D14" s="85"/>
      <c r="E14" s="86"/>
      <c r="F14" s="85"/>
      <c r="G14" s="86"/>
      <c r="H14" s="85"/>
      <c r="I14" s="86"/>
      <c r="J14" s="85"/>
      <c r="K14" s="86"/>
      <c r="L14" s="85">
        <v>1562</v>
      </c>
      <c r="M14" s="86"/>
      <c r="N14" s="85">
        <v>1562</v>
      </c>
      <c r="O14" s="86"/>
      <c r="P14" s="85">
        <v>1562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88"/>
      <c r="AB14" s="139"/>
      <c r="AC14" s="140"/>
    </row>
    <row r="15" spans="1:29" ht="24.75" customHeight="1" thickTop="1">
      <c r="A15" s="91" t="s">
        <v>42</v>
      </c>
      <c r="B15" s="20" t="s">
        <v>114</v>
      </c>
      <c r="C15" s="2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>
        <v>1000</v>
      </c>
      <c r="Q15" s="75"/>
      <c r="R15" s="74">
        <v>7200</v>
      </c>
      <c r="S15" s="75"/>
      <c r="T15" s="74">
        <v>5400</v>
      </c>
      <c r="U15" s="75"/>
      <c r="V15" s="74">
        <v>5700</v>
      </c>
      <c r="W15" s="75"/>
      <c r="X15" s="74">
        <v>6900</v>
      </c>
      <c r="Y15" s="75"/>
      <c r="Z15" s="74">
        <v>1500</v>
      </c>
      <c r="AA15" s="75"/>
      <c r="AB15" s="135"/>
      <c r="AC15" s="136"/>
    </row>
    <row r="16" spans="1:29" ht="24.75" customHeight="1">
      <c r="A16" s="92"/>
      <c r="B16" s="18"/>
      <c r="C16" s="19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37"/>
      <c r="AC16" s="138"/>
    </row>
    <row r="17" spans="1:31" ht="24.75" customHeight="1">
      <c r="A17" s="92"/>
      <c r="B17" s="18" t="s">
        <v>113</v>
      </c>
      <c r="C17" s="19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>
        <v>15360</v>
      </c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37"/>
      <c r="AC17" s="138"/>
      <c r="AE17" s="1">
        <f>7680*2</f>
        <v>15360</v>
      </c>
    </row>
    <row r="18" spans="1:31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137"/>
      <c r="AC18" s="138"/>
    </row>
    <row r="19" spans="1:31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37"/>
      <c r="AC19" s="138"/>
    </row>
    <row r="20" spans="1:31" ht="24.75" customHeight="1" thickBot="1">
      <c r="A20" s="93"/>
      <c r="B20" s="52" t="s">
        <v>30</v>
      </c>
      <c r="C20" s="48"/>
      <c r="D20" s="85"/>
      <c r="E20" s="86"/>
      <c r="F20" s="85"/>
      <c r="G20" s="86"/>
      <c r="H20" s="85"/>
      <c r="I20" s="86"/>
      <c r="J20" s="85"/>
      <c r="K20" s="86"/>
      <c r="L20" s="85">
        <v>10000</v>
      </c>
      <c r="M20" s="86"/>
      <c r="N20" s="85">
        <v>1000</v>
      </c>
      <c r="O20" s="86"/>
      <c r="P20" s="85">
        <v>2000</v>
      </c>
      <c r="Q20" s="86"/>
      <c r="R20" s="85"/>
      <c r="S20" s="86"/>
      <c r="T20" s="85">
        <v>16000</v>
      </c>
      <c r="U20" s="86"/>
      <c r="V20" s="85"/>
      <c r="W20" s="86"/>
      <c r="X20" s="85"/>
      <c r="Y20" s="86"/>
      <c r="Z20" s="85"/>
      <c r="AA20" s="86"/>
      <c r="AB20" s="139"/>
      <c r="AC20" s="140"/>
    </row>
    <row r="21" spans="1:31" ht="24.75" customHeight="1" thickTop="1">
      <c r="A21" s="71" t="s">
        <v>31</v>
      </c>
      <c r="B21" s="72"/>
      <c r="C21" s="73"/>
      <c r="D21" s="74">
        <f>INT(D7*D11+D8*D13+D10*D12+D15+D16+D17+D18+D19+D20+D9*D12)</f>
        <v>0</v>
      </c>
      <c r="E21" s="75"/>
      <c r="F21" s="74">
        <f>INT(F7*F11+F8*F13+F10*F12+F15+F16+F17+F18+F19+F9*F12+F20)</f>
        <v>0</v>
      </c>
      <c r="G21" s="75"/>
      <c r="H21" s="74">
        <f>H7*H11+H18+H20</f>
        <v>0</v>
      </c>
      <c r="I21" s="75"/>
      <c r="J21" s="74">
        <f>J7*J11</f>
        <v>0</v>
      </c>
      <c r="K21" s="75"/>
      <c r="L21" s="74">
        <f t="shared" ref="L21" si="0">INT(L7*L11+L8*L13+L10*L12+L15+L16+L17+L18+L19+L20)</f>
        <v>18000</v>
      </c>
      <c r="M21" s="75"/>
      <c r="N21" s="74">
        <f t="shared" ref="N21" si="1">INT(N7*N11+N8*N13+N10*N12+N15+N16+N17+N18+N19+N20)</f>
        <v>88360</v>
      </c>
      <c r="O21" s="75"/>
      <c r="P21" s="74">
        <f t="shared" ref="P21" si="2">INT(P7*P11+P8*P13+P10*P12+P15+P16+P17+P18+P19+P20)</f>
        <v>163000</v>
      </c>
      <c r="Q21" s="75"/>
      <c r="R21" s="74">
        <f>INT(R7*R11+R8*R13+R10*R14+R9*R12+R15+R16+R17+R18+R19+R20)</f>
        <v>209636</v>
      </c>
      <c r="S21" s="75"/>
      <c r="T21" s="74">
        <f>INT(T7*T11+T8*T13+T9*T12+T15+T16+T17+T18+T19+T20)</f>
        <v>169150</v>
      </c>
      <c r="U21" s="75"/>
      <c r="V21" s="74">
        <f>INT(V7*V11+V8*V13+V9*V12+V15+V16+V17+V18+V19+V20)</f>
        <v>175450</v>
      </c>
      <c r="W21" s="75"/>
      <c r="X21" s="74">
        <f>INT(X7*X11+X8*X13+X9*X12+X15+X16+X17+X18+X19+X20)</f>
        <v>180025</v>
      </c>
      <c r="Y21" s="75"/>
      <c r="Z21" s="74">
        <f t="shared" ref="Z21" si="3">INT(Z7*Z11+Z8*Z13+Z10*Z12+Z15+Z16+Z17+Z18+Z19+Z20)</f>
        <v>41500</v>
      </c>
      <c r="AA21" s="75"/>
      <c r="AB21" s="141">
        <f>D21+F21+H21+J21+L21+N21</f>
        <v>106360</v>
      </c>
      <c r="AC21" s="142"/>
    </row>
    <row r="22" spans="1:31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>
        <v>10000</v>
      </c>
      <c r="U22" s="102"/>
      <c r="V22" s="101"/>
      <c r="W22" s="102"/>
      <c r="X22" s="101"/>
      <c r="Y22" s="102"/>
      <c r="Z22" s="101"/>
      <c r="AA22" s="102"/>
      <c r="AB22" s="145"/>
      <c r="AC22" s="146"/>
    </row>
    <row r="23" spans="1:31" ht="24.75" customHeight="1" thickBot="1">
      <c r="A23" s="117" t="s">
        <v>20</v>
      </c>
      <c r="B23" s="118"/>
      <c r="C23" s="119"/>
      <c r="D23" s="105">
        <f>D7*D11+D18+D20</f>
        <v>0</v>
      </c>
      <c r="E23" s="106"/>
      <c r="F23" s="105">
        <f>F21</f>
        <v>0</v>
      </c>
      <c r="G23" s="106"/>
      <c r="H23" s="105">
        <f t="shared" ref="H23" si="4">H21+H22</f>
        <v>0</v>
      </c>
      <c r="I23" s="106"/>
      <c r="J23" s="105">
        <f t="shared" ref="J23" si="5">J21+J22</f>
        <v>0</v>
      </c>
      <c r="K23" s="106"/>
      <c r="L23" s="105">
        <f t="shared" ref="L23" si="6">L21+L22</f>
        <v>18000</v>
      </c>
      <c r="M23" s="106"/>
      <c r="N23" s="105">
        <f t="shared" ref="N23" si="7">N21+N22</f>
        <v>88360</v>
      </c>
      <c r="O23" s="106"/>
      <c r="P23" s="105">
        <f t="shared" ref="P23" si="8">P21+P22</f>
        <v>163000</v>
      </c>
      <c r="Q23" s="106"/>
      <c r="R23" s="105">
        <f t="shared" ref="R23" si="9">R21+R22</f>
        <v>209636</v>
      </c>
      <c r="S23" s="106"/>
      <c r="T23" s="105">
        <f t="shared" ref="T23" si="10">T21+T22</f>
        <v>179150</v>
      </c>
      <c r="U23" s="106"/>
      <c r="V23" s="105">
        <f t="shared" ref="V23" si="11">V21+V22</f>
        <v>175450</v>
      </c>
      <c r="W23" s="106"/>
      <c r="X23" s="105">
        <f t="shared" ref="X23" si="12">X21+X22</f>
        <v>180025</v>
      </c>
      <c r="Y23" s="106"/>
      <c r="Z23" s="105">
        <f t="shared" ref="Z23" si="13">Z21+Z22</f>
        <v>41500</v>
      </c>
      <c r="AA23" s="106"/>
      <c r="AB23" s="147">
        <f>D23+F23+H23+J23+L23+N23</f>
        <v>106360</v>
      </c>
      <c r="AC23" s="148"/>
    </row>
    <row r="24" spans="1:31" ht="24.75" customHeight="1">
      <c r="A24" s="109" t="s">
        <v>33</v>
      </c>
      <c r="B24" s="113" t="s">
        <v>34</v>
      </c>
      <c r="C24" s="114"/>
      <c r="D24" s="115">
        <f>D23*0.003</f>
        <v>0</v>
      </c>
      <c r="E24" s="116"/>
      <c r="F24" s="115">
        <f>F23*0.003</f>
        <v>0</v>
      </c>
      <c r="G24" s="116"/>
      <c r="H24" s="115">
        <f>H23*0.003</f>
        <v>0</v>
      </c>
      <c r="I24" s="116"/>
      <c r="J24" s="115">
        <f>J23*0.003</f>
        <v>0</v>
      </c>
      <c r="K24" s="116"/>
      <c r="L24" s="115">
        <f t="shared" ref="L24" si="14">L23*0.003</f>
        <v>54</v>
      </c>
      <c r="M24" s="116"/>
      <c r="N24" s="115">
        <f t="shared" ref="N24" si="15">N23*0.003</f>
        <v>265.08</v>
      </c>
      <c r="O24" s="116"/>
      <c r="P24" s="115">
        <f t="shared" ref="P24" si="16">P23*0.003</f>
        <v>489</v>
      </c>
      <c r="Q24" s="116"/>
      <c r="R24" s="115">
        <f t="shared" ref="R24" si="17">R23*0.003</f>
        <v>628.90800000000002</v>
      </c>
      <c r="S24" s="116"/>
      <c r="T24" s="115">
        <f t="shared" ref="T24" si="18">T23*0.003</f>
        <v>537.45000000000005</v>
      </c>
      <c r="U24" s="116"/>
      <c r="V24" s="115">
        <f t="shared" ref="V24" si="19">V23*0.003</f>
        <v>526.35</v>
      </c>
      <c r="W24" s="116"/>
      <c r="X24" s="115">
        <f t="shared" ref="X24" si="20">X23*0.003</f>
        <v>540.07500000000005</v>
      </c>
      <c r="Y24" s="116"/>
      <c r="Z24" s="115">
        <f t="shared" ref="Z24" si="21">Z23*0.003</f>
        <v>124.5</v>
      </c>
      <c r="AA24" s="116"/>
      <c r="AB24" s="150"/>
      <c r="AC24" s="151"/>
    </row>
    <row r="25" spans="1:31" ht="24.75" customHeight="1">
      <c r="A25" s="110"/>
      <c r="B25" s="94" t="s">
        <v>35</v>
      </c>
      <c r="C25" s="95"/>
      <c r="D25" s="58"/>
      <c r="E25" s="59"/>
      <c r="F25" s="58"/>
      <c r="G25" s="59"/>
      <c r="H25" s="58"/>
      <c r="I25" s="59"/>
      <c r="J25" s="58">
        <v>0</v>
      </c>
      <c r="K25" s="59"/>
      <c r="L25" s="58">
        <v>0</v>
      </c>
      <c r="M25" s="59"/>
      <c r="N25" s="58">
        <v>0</v>
      </c>
      <c r="O25" s="59"/>
      <c r="P25" s="58">
        <v>3700</v>
      </c>
      <c r="Q25" s="59"/>
      <c r="R25" s="58">
        <v>5320</v>
      </c>
      <c r="S25" s="59"/>
      <c r="T25" s="58">
        <v>4270</v>
      </c>
      <c r="U25" s="59"/>
      <c r="V25" s="58">
        <v>4270</v>
      </c>
      <c r="W25" s="59"/>
      <c r="X25" s="58">
        <v>4050</v>
      </c>
      <c r="Y25" s="59"/>
      <c r="Z25" s="58">
        <v>0</v>
      </c>
      <c r="AA25" s="59"/>
      <c r="AB25" s="137"/>
      <c r="AC25" s="138"/>
    </row>
    <row r="26" spans="1:31" ht="24.75" customHeight="1">
      <c r="A26" s="110"/>
      <c r="B26" s="94" t="s">
        <v>47</v>
      </c>
      <c r="C26" s="95"/>
      <c r="D26" s="58"/>
      <c r="E26" s="59"/>
      <c r="F26" s="58"/>
      <c r="G26" s="59"/>
      <c r="H26" s="58"/>
      <c r="I26" s="59"/>
      <c r="J26" s="58">
        <v>0</v>
      </c>
      <c r="K26" s="59"/>
      <c r="L26" s="58">
        <v>0</v>
      </c>
      <c r="M26" s="59"/>
      <c r="N26" s="58">
        <v>0</v>
      </c>
      <c r="O26" s="59"/>
      <c r="P26" s="58">
        <v>0</v>
      </c>
      <c r="Q26" s="59"/>
      <c r="R26" s="58">
        <v>0</v>
      </c>
      <c r="S26" s="59"/>
      <c r="T26" s="58">
        <v>0</v>
      </c>
      <c r="U26" s="59"/>
      <c r="V26" s="58">
        <v>0</v>
      </c>
      <c r="W26" s="59"/>
      <c r="X26" s="58">
        <v>0</v>
      </c>
      <c r="Y26" s="59"/>
      <c r="Z26" s="58">
        <v>0</v>
      </c>
      <c r="AA26" s="59"/>
      <c r="AB26" s="137"/>
      <c r="AC26" s="138"/>
    </row>
    <row r="27" spans="1:31" ht="24.75" customHeight="1">
      <c r="A27" s="111"/>
      <c r="B27" s="94" t="s">
        <v>48</v>
      </c>
      <c r="C27" s="95"/>
      <c r="D27" s="83"/>
      <c r="E27" s="84"/>
      <c r="F27" s="83"/>
      <c r="G27" s="84"/>
      <c r="H27" s="83"/>
      <c r="I27" s="84"/>
      <c r="J27" s="83">
        <v>0</v>
      </c>
      <c r="K27" s="84"/>
      <c r="L27" s="83">
        <v>0</v>
      </c>
      <c r="M27" s="84"/>
      <c r="N27" s="83">
        <v>0</v>
      </c>
      <c r="O27" s="84"/>
      <c r="P27" s="83">
        <v>0</v>
      </c>
      <c r="Q27" s="84"/>
      <c r="R27" s="83">
        <v>0</v>
      </c>
      <c r="S27" s="84"/>
      <c r="T27" s="83">
        <v>0</v>
      </c>
      <c r="U27" s="84"/>
      <c r="V27" s="83">
        <v>0</v>
      </c>
      <c r="W27" s="84"/>
      <c r="X27" s="83">
        <v>0</v>
      </c>
      <c r="Y27" s="84"/>
      <c r="Z27" s="83">
        <v>0</v>
      </c>
      <c r="AA27" s="84"/>
      <c r="AB27" s="141"/>
      <c r="AC27" s="142"/>
    </row>
    <row r="28" spans="1:31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>
        <v>0</v>
      </c>
      <c r="K28" s="102"/>
      <c r="L28" s="101">
        <v>0</v>
      </c>
      <c r="M28" s="102"/>
      <c r="N28" s="101">
        <v>1000</v>
      </c>
      <c r="O28" s="102"/>
      <c r="P28" s="101">
        <v>500</v>
      </c>
      <c r="Q28" s="102"/>
      <c r="R28" s="101">
        <v>1000</v>
      </c>
      <c r="S28" s="102"/>
      <c r="T28" s="101">
        <v>11750</v>
      </c>
      <c r="U28" s="102"/>
      <c r="V28" s="101">
        <v>500</v>
      </c>
      <c r="W28" s="102"/>
      <c r="X28" s="101">
        <v>2000</v>
      </c>
      <c r="Y28" s="102"/>
      <c r="Z28" s="101">
        <v>250</v>
      </c>
      <c r="AA28" s="102"/>
      <c r="AB28" s="152"/>
      <c r="AC28" s="153"/>
    </row>
    <row r="29" spans="1:31" ht="24.75" customHeight="1" thickBot="1">
      <c r="A29" s="71" t="s">
        <v>36</v>
      </c>
      <c r="B29" s="72"/>
      <c r="C29" s="73"/>
      <c r="D29" s="83">
        <f>SUM(D24:D28)</f>
        <v>0</v>
      </c>
      <c r="E29" s="84"/>
      <c r="F29" s="83">
        <f t="shared" ref="F29" si="22">SUM(F24:F28)</f>
        <v>0</v>
      </c>
      <c r="G29" s="84"/>
      <c r="H29" s="83">
        <f t="shared" ref="H29" si="23">SUM(H24:H28)</f>
        <v>0</v>
      </c>
      <c r="I29" s="84"/>
      <c r="J29" s="83">
        <f t="shared" ref="J29" si="24">SUM(J24:J28)</f>
        <v>0</v>
      </c>
      <c r="K29" s="84"/>
      <c r="L29" s="83">
        <f t="shared" ref="L29" si="25">SUM(L24:L28)</f>
        <v>54</v>
      </c>
      <c r="M29" s="84"/>
      <c r="N29" s="83">
        <f t="shared" ref="N29" si="26">SUM(N24:N28)</f>
        <v>1265.08</v>
      </c>
      <c r="O29" s="84"/>
      <c r="P29" s="83">
        <f t="shared" ref="P29" si="27">SUM(P24:P28)</f>
        <v>4689</v>
      </c>
      <c r="Q29" s="84"/>
      <c r="R29" s="83">
        <f t="shared" ref="R29" si="28">SUM(R24:R28)</f>
        <v>6948.9080000000004</v>
      </c>
      <c r="S29" s="84"/>
      <c r="T29" s="83">
        <f t="shared" ref="T29" si="29">SUM(T24:T28)</f>
        <v>16557.45</v>
      </c>
      <c r="U29" s="84"/>
      <c r="V29" s="83">
        <f t="shared" ref="V29" si="30">SUM(V24:V28)</f>
        <v>5296.35</v>
      </c>
      <c r="W29" s="84"/>
      <c r="X29" s="83">
        <f t="shared" ref="X29" si="31">SUM(X24:X28)</f>
        <v>6590.0749999999998</v>
      </c>
      <c r="Y29" s="84"/>
      <c r="Z29" s="83">
        <f t="shared" ref="Z29" si="32">SUM(Z24:Z28)</f>
        <v>374.5</v>
      </c>
      <c r="AA29" s="131"/>
      <c r="AB29" s="141">
        <f t="shared" ref="AB29" si="33">SUM(AB24:AB28)</f>
        <v>0</v>
      </c>
      <c r="AC29" s="142"/>
    </row>
    <row r="30" spans="1:31" ht="24.75" customHeight="1" thickTop="1" thickBot="1">
      <c r="A30" s="132" t="s">
        <v>37</v>
      </c>
      <c r="B30" s="133"/>
      <c r="C30" s="134"/>
      <c r="D30" s="126">
        <f>D23-D29</f>
        <v>0</v>
      </c>
      <c r="E30" s="127"/>
      <c r="F30" s="126">
        <f>F23-F29</f>
        <v>0</v>
      </c>
      <c r="G30" s="127"/>
      <c r="H30" s="126">
        <f>H23-H29</f>
        <v>0</v>
      </c>
      <c r="I30" s="127"/>
      <c r="J30" s="126">
        <f>J23-J29</f>
        <v>0</v>
      </c>
      <c r="K30" s="127"/>
      <c r="L30" s="126">
        <f>L23-L29</f>
        <v>17946</v>
      </c>
      <c r="M30" s="127"/>
      <c r="N30" s="126">
        <f>N23-N29</f>
        <v>87094.92</v>
      </c>
      <c r="O30" s="127"/>
      <c r="P30" s="126">
        <f>P23-P29</f>
        <v>158311</v>
      </c>
      <c r="Q30" s="127"/>
      <c r="R30" s="126">
        <f>R23-R29</f>
        <v>202687.092</v>
      </c>
      <c r="S30" s="127"/>
      <c r="T30" s="126">
        <f>T23-T29</f>
        <v>162592.54999999999</v>
      </c>
      <c r="U30" s="127"/>
      <c r="V30" s="126">
        <f>V23-V29</f>
        <v>170153.65</v>
      </c>
      <c r="W30" s="127"/>
      <c r="X30" s="126">
        <f>X21-X29</f>
        <v>173434.92499999999</v>
      </c>
      <c r="Y30" s="127"/>
      <c r="Z30" s="126">
        <f>Z23-Z29</f>
        <v>41125.5</v>
      </c>
      <c r="AA30" s="128"/>
      <c r="AB30" s="155">
        <f>D30+F30+H30+J30+L30+N30</f>
        <v>105040.92</v>
      </c>
      <c r="AC30" s="15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1846-F1A5-4F7B-A046-7C05FCBA43C8}">
  <dimension ref="A1:AC30"/>
  <sheetViews>
    <sheetView topLeftCell="A9" workbookViewId="0">
      <selection activeCell="Z28" sqref="Z28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62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>
        <v>20</v>
      </c>
      <c r="E7" s="4" t="s">
        <v>21</v>
      </c>
      <c r="F7" s="3">
        <v>20</v>
      </c>
      <c r="G7" s="4" t="s">
        <v>21</v>
      </c>
      <c r="H7" s="3">
        <v>20</v>
      </c>
      <c r="I7" s="4" t="s">
        <v>21</v>
      </c>
      <c r="J7" s="3">
        <v>20</v>
      </c>
      <c r="K7" s="4" t="s">
        <v>21</v>
      </c>
      <c r="L7" s="3">
        <v>20</v>
      </c>
      <c r="M7" s="4" t="s">
        <v>21</v>
      </c>
      <c r="N7" s="3">
        <v>20</v>
      </c>
      <c r="O7" s="4" t="s">
        <v>21</v>
      </c>
      <c r="P7" s="3">
        <v>20</v>
      </c>
      <c r="Q7" s="4" t="s">
        <v>21</v>
      </c>
      <c r="R7" s="3">
        <v>20</v>
      </c>
      <c r="S7" s="4" t="s">
        <v>21</v>
      </c>
      <c r="T7" s="3">
        <v>20</v>
      </c>
      <c r="U7" s="4" t="s">
        <v>21</v>
      </c>
      <c r="V7" s="3">
        <v>20</v>
      </c>
      <c r="W7" s="4" t="s">
        <v>21</v>
      </c>
      <c r="X7" s="3">
        <v>20</v>
      </c>
      <c r="Y7" s="4" t="s">
        <v>21</v>
      </c>
      <c r="Z7" s="3">
        <v>20</v>
      </c>
      <c r="AA7" s="4" t="s">
        <v>21</v>
      </c>
      <c r="AB7" s="24">
        <f>Z7+X7+V7+T7+R7+P7+N7+L7+J7+H7+F7+D7</f>
        <v>240</v>
      </c>
      <c r="AC7" s="9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23" t="s">
        <v>22</v>
      </c>
      <c r="AB9" s="24"/>
      <c r="AC9" s="9" t="s">
        <v>22</v>
      </c>
    </row>
    <row r="10" spans="1:29" ht="24.75" customHeight="1" thickBot="1">
      <c r="A10" s="65" t="s">
        <v>69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23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>
        <v>200000</v>
      </c>
      <c r="E11" s="75"/>
      <c r="F11" s="74">
        <v>200000</v>
      </c>
      <c r="G11" s="75"/>
      <c r="H11" s="74">
        <v>200000</v>
      </c>
      <c r="I11" s="75"/>
      <c r="J11" s="74">
        <v>200000</v>
      </c>
      <c r="K11" s="75"/>
      <c r="L11" s="74">
        <v>200000</v>
      </c>
      <c r="M11" s="75"/>
      <c r="N11" s="74">
        <v>200000</v>
      </c>
      <c r="O11" s="75"/>
      <c r="P11" s="74">
        <v>200000</v>
      </c>
      <c r="Q11" s="75"/>
      <c r="R11" s="74">
        <v>200000</v>
      </c>
      <c r="S11" s="75"/>
      <c r="T11" s="74">
        <v>200000</v>
      </c>
      <c r="U11" s="75"/>
      <c r="V11" s="74">
        <v>200000</v>
      </c>
      <c r="W11" s="75"/>
      <c r="X11" s="74">
        <v>200000</v>
      </c>
      <c r="Y11" s="75"/>
      <c r="Z11" s="74">
        <v>200000</v>
      </c>
      <c r="AA11" s="75"/>
      <c r="AB11" s="135"/>
      <c r="AC11" s="136"/>
    </row>
    <row r="12" spans="1:29" ht="24.75" customHeight="1">
      <c r="A12" s="65" t="s">
        <v>49</v>
      </c>
      <c r="B12" s="66"/>
      <c r="C12" s="67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137"/>
      <c r="AC12" s="138"/>
    </row>
    <row r="13" spans="1:29" ht="24.75" customHeight="1">
      <c r="A13" s="89" t="s">
        <v>27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59"/>
      <c r="AB13" s="137"/>
      <c r="AC13" s="138"/>
    </row>
    <row r="14" spans="1:29" ht="24.75" customHeight="1" thickBot="1">
      <c r="A14" s="80" t="s">
        <v>50</v>
      </c>
      <c r="B14" s="81"/>
      <c r="C14" s="82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139"/>
      <c r="AC14" s="140"/>
    </row>
    <row r="15" spans="1:29" ht="24.75" customHeight="1" thickTop="1">
      <c r="A15" s="92" t="s">
        <v>42</v>
      </c>
      <c r="B15" s="17"/>
      <c r="C15" s="6" t="s">
        <v>43</v>
      </c>
      <c r="D15" s="83"/>
      <c r="E15" s="84"/>
      <c r="F15" s="83"/>
      <c r="G15" s="84"/>
      <c r="H15" s="83"/>
      <c r="I15" s="84"/>
      <c r="J15" s="83"/>
      <c r="K15" s="84"/>
      <c r="L15" s="83"/>
      <c r="M15" s="84"/>
      <c r="N15" s="83"/>
      <c r="O15" s="84"/>
      <c r="P15" s="83"/>
      <c r="Q15" s="84"/>
      <c r="R15" s="83"/>
      <c r="S15" s="84"/>
      <c r="T15" s="83"/>
      <c r="U15" s="84"/>
      <c r="V15" s="83"/>
      <c r="W15" s="84"/>
      <c r="X15" s="83"/>
      <c r="Y15" s="84"/>
      <c r="Z15" s="83"/>
      <c r="AA15" s="84"/>
      <c r="AB15" s="141"/>
      <c r="AC15" s="142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37"/>
      <c r="AC16" s="138"/>
    </row>
    <row r="17" spans="1:29" ht="24.75" customHeight="1">
      <c r="A17" s="92"/>
      <c r="B17" s="16"/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37"/>
      <c r="AC17" s="138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>
        <v>50000</v>
      </c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137"/>
      <c r="AC18" s="138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37"/>
      <c r="AC19" s="138"/>
    </row>
    <row r="20" spans="1:29" ht="24.75" customHeight="1">
      <c r="A20" s="110"/>
      <c r="B20" s="94" t="s">
        <v>30</v>
      </c>
      <c r="C20" s="95"/>
      <c r="D20" s="58"/>
      <c r="E20" s="59"/>
      <c r="F20" s="58"/>
      <c r="G20" s="59"/>
      <c r="H20" s="58"/>
      <c r="I20" s="59"/>
      <c r="J20" s="58"/>
      <c r="K20" s="59"/>
      <c r="L20" s="58"/>
      <c r="M20" s="59"/>
      <c r="N20" s="58">
        <v>100000</v>
      </c>
      <c r="O20" s="59"/>
      <c r="P20" s="58"/>
      <c r="Q20" s="59"/>
      <c r="R20" s="58"/>
      <c r="S20" s="59"/>
      <c r="T20" s="58"/>
      <c r="U20" s="59"/>
      <c r="V20" s="58"/>
      <c r="W20" s="59"/>
      <c r="X20" s="58"/>
      <c r="Y20" s="59"/>
      <c r="Z20" s="58"/>
      <c r="AA20" s="59"/>
      <c r="AB20" s="137"/>
      <c r="AC20" s="138"/>
    </row>
    <row r="21" spans="1:29" ht="24.75" customHeight="1">
      <c r="A21" s="65" t="s">
        <v>31</v>
      </c>
      <c r="B21" s="66"/>
      <c r="C21" s="67"/>
      <c r="D21" s="58">
        <f>SUM(D11:D20)</f>
        <v>200000</v>
      </c>
      <c r="E21" s="59"/>
      <c r="F21" s="58">
        <f t="shared" ref="F21:Z21" si="0">SUM(F11:F20)</f>
        <v>200000</v>
      </c>
      <c r="G21" s="59"/>
      <c r="H21" s="58">
        <f t="shared" si="0"/>
        <v>200000</v>
      </c>
      <c r="I21" s="59"/>
      <c r="J21" s="58">
        <f t="shared" si="0"/>
        <v>200000</v>
      </c>
      <c r="K21" s="59"/>
      <c r="L21" s="58">
        <f t="shared" si="0"/>
        <v>200000</v>
      </c>
      <c r="M21" s="59"/>
      <c r="N21" s="58">
        <f t="shared" si="0"/>
        <v>350000</v>
      </c>
      <c r="O21" s="59"/>
      <c r="P21" s="58">
        <f t="shared" si="0"/>
        <v>200000</v>
      </c>
      <c r="Q21" s="59"/>
      <c r="R21" s="58">
        <f t="shared" si="0"/>
        <v>200000</v>
      </c>
      <c r="S21" s="59"/>
      <c r="T21" s="58">
        <f t="shared" si="0"/>
        <v>200000</v>
      </c>
      <c r="U21" s="59"/>
      <c r="V21" s="58">
        <f t="shared" si="0"/>
        <v>200000</v>
      </c>
      <c r="W21" s="59"/>
      <c r="X21" s="58">
        <f t="shared" si="0"/>
        <v>200000</v>
      </c>
      <c r="Y21" s="59"/>
      <c r="Z21" s="58">
        <f t="shared" si="0"/>
        <v>200000</v>
      </c>
      <c r="AA21" s="59"/>
      <c r="AB21" s="137">
        <f>D21+F21+H21+J21+L21+N21+P21+R21+T21+V21+X21+Z21</f>
        <v>2550000</v>
      </c>
      <c r="AC21" s="138"/>
    </row>
    <row r="22" spans="1:29" ht="24.75" customHeight="1" thickBot="1">
      <c r="A22" s="98" t="s">
        <v>39</v>
      </c>
      <c r="B22" s="99"/>
      <c r="C22" s="100"/>
      <c r="D22" s="143"/>
      <c r="E22" s="144"/>
      <c r="F22" s="143"/>
      <c r="G22" s="144"/>
      <c r="H22" s="143"/>
      <c r="I22" s="144"/>
      <c r="J22" s="143"/>
      <c r="K22" s="144"/>
      <c r="L22" s="143"/>
      <c r="M22" s="144"/>
      <c r="N22" s="143"/>
      <c r="O22" s="144"/>
      <c r="P22" s="143"/>
      <c r="Q22" s="144"/>
      <c r="R22" s="143"/>
      <c r="S22" s="144"/>
      <c r="T22" s="143"/>
      <c r="U22" s="144"/>
      <c r="V22" s="143"/>
      <c r="W22" s="144"/>
      <c r="X22" s="143"/>
      <c r="Y22" s="144"/>
      <c r="Z22" s="143"/>
      <c r="AA22" s="144"/>
      <c r="AB22" s="145"/>
      <c r="AC22" s="146"/>
    </row>
    <row r="23" spans="1:29" ht="24.75" customHeight="1" thickBot="1">
      <c r="A23" s="117" t="s">
        <v>20</v>
      </c>
      <c r="B23" s="118"/>
      <c r="C23" s="119"/>
      <c r="D23" s="105">
        <f>D21+D22</f>
        <v>200000</v>
      </c>
      <c r="E23" s="106"/>
      <c r="F23" s="105">
        <f>F21+F22</f>
        <v>200000</v>
      </c>
      <c r="G23" s="106"/>
      <c r="H23" s="105">
        <f t="shared" ref="H23" si="1">H21+H22</f>
        <v>200000</v>
      </c>
      <c r="I23" s="106"/>
      <c r="J23" s="105">
        <f t="shared" ref="J23" si="2">J21+J22</f>
        <v>200000</v>
      </c>
      <c r="K23" s="106"/>
      <c r="L23" s="105">
        <f t="shared" ref="L23" si="3">L21+L22</f>
        <v>200000</v>
      </c>
      <c r="M23" s="106"/>
      <c r="N23" s="105">
        <f t="shared" ref="N23" si="4">N21+N22</f>
        <v>350000</v>
      </c>
      <c r="O23" s="106"/>
      <c r="P23" s="105">
        <f t="shared" ref="P23" si="5">P21+P22</f>
        <v>200000</v>
      </c>
      <c r="Q23" s="106"/>
      <c r="R23" s="105">
        <f t="shared" ref="R23" si="6">R21+R22</f>
        <v>200000</v>
      </c>
      <c r="S23" s="106"/>
      <c r="T23" s="105">
        <f t="shared" ref="T23" si="7">T21+T22</f>
        <v>200000</v>
      </c>
      <c r="U23" s="106"/>
      <c r="V23" s="105">
        <f t="shared" ref="V23" si="8">V21+V22</f>
        <v>200000</v>
      </c>
      <c r="W23" s="106"/>
      <c r="X23" s="105">
        <f t="shared" ref="X23" si="9">X21+X22</f>
        <v>200000</v>
      </c>
      <c r="Y23" s="106"/>
      <c r="Z23" s="105">
        <f t="shared" ref="Z23" si="10">Z21+Z22</f>
        <v>200000</v>
      </c>
      <c r="AA23" s="106"/>
      <c r="AB23" s="147">
        <f>D23+F23+H23+J23+L23+N23+P23+R23+T23+V23+X23+Z23</f>
        <v>2550000</v>
      </c>
      <c r="AC23" s="148"/>
    </row>
    <row r="24" spans="1:29" ht="24.75" customHeight="1">
      <c r="A24" s="109" t="s">
        <v>33</v>
      </c>
      <c r="B24" s="113" t="s">
        <v>34</v>
      </c>
      <c r="C24" s="114"/>
      <c r="D24" s="115">
        <v>0</v>
      </c>
      <c r="E24" s="116"/>
      <c r="F24" s="115">
        <v>0</v>
      </c>
      <c r="G24" s="116"/>
      <c r="H24" s="115">
        <v>0</v>
      </c>
      <c r="I24" s="116"/>
      <c r="J24" s="115">
        <v>0</v>
      </c>
      <c r="K24" s="116"/>
      <c r="L24" s="115">
        <v>0</v>
      </c>
      <c r="M24" s="116"/>
      <c r="N24" s="115">
        <v>0</v>
      </c>
      <c r="O24" s="116"/>
      <c r="P24" s="115">
        <v>0</v>
      </c>
      <c r="Q24" s="116"/>
      <c r="R24" s="115">
        <v>0</v>
      </c>
      <c r="S24" s="116"/>
      <c r="T24" s="115">
        <v>0</v>
      </c>
      <c r="U24" s="116"/>
      <c r="V24" s="115">
        <v>0</v>
      </c>
      <c r="W24" s="116"/>
      <c r="X24" s="115">
        <v>0</v>
      </c>
      <c r="Y24" s="116"/>
      <c r="Z24" s="115">
        <v>0</v>
      </c>
      <c r="AA24" s="116"/>
      <c r="AB24" s="150"/>
      <c r="AC24" s="151"/>
    </row>
    <row r="25" spans="1:29" ht="24.75" customHeight="1">
      <c r="A25" s="110"/>
      <c r="B25" s="94" t="s">
        <v>35</v>
      </c>
      <c r="C25" s="95"/>
      <c r="D25" s="58">
        <v>6000</v>
      </c>
      <c r="E25" s="59"/>
      <c r="F25" s="58">
        <v>6000</v>
      </c>
      <c r="G25" s="59"/>
      <c r="H25" s="58">
        <v>6000</v>
      </c>
      <c r="I25" s="59"/>
      <c r="J25" s="58">
        <v>6000</v>
      </c>
      <c r="K25" s="59"/>
      <c r="L25" s="58">
        <v>6000</v>
      </c>
      <c r="M25" s="59"/>
      <c r="N25" s="58">
        <v>9000</v>
      </c>
      <c r="O25" s="59"/>
      <c r="P25" s="58">
        <v>6000</v>
      </c>
      <c r="Q25" s="59"/>
      <c r="R25" s="58">
        <v>6000</v>
      </c>
      <c r="S25" s="59"/>
      <c r="T25" s="58">
        <v>6000</v>
      </c>
      <c r="U25" s="59"/>
      <c r="V25" s="58">
        <v>6000</v>
      </c>
      <c r="W25" s="59"/>
      <c r="X25" s="58">
        <v>6000</v>
      </c>
      <c r="Y25" s="59"/>
      <c r="Z25" s="58">
        <v>6000</v>
      </c>
      <c r="AA25" s="59"/>
      <c r="AB25" s="137"/>
      <c r="AC25" s="138"/>
    </row>
    <row r="26" spans="1:29" ht="24.75" customHeight="1">
      <c r="A26" s="110"/>
      <c r="B26" s="94" t="s">
        <v>47</v>
      </c>
      <c r="C26" s="95"/>
      <c r="D26" s="58"/>
      <c r="E26" s="59"/>
      <c r="F26" s="58"/>
      <c r="G26" s="59"/>
      <c r="H26" s="58">
        <v>4900</v>
      </c>
      <c r="I26" s="59"/>
      <c r="J26" s="58">
        <v>3900</v>
      </c>
      <c r="K26" s="59"/>
      <c r="L26" s="58">
        <v>3900</v>
      </c>
      <c r="M26" s="59"/>
      <c r="N26" s="58">
        <v>3900</v>
      </c>
      <c r="O26" s="59"/>
      <c r="P26" s="58">
        <v>3900</v>
      </c>
      <c r="Q26" s="59"/>
      <c r="R26" s="58">
        <v>3900</v>
      </c>
      <c r="S26" s="59"/>
      <c r="T26" s="58">
        <v>3900</v>
      </c>
      <c r="U26" s="59"/>
      <c r="V26" s="58">
        <v>3900</v>
      </c>
      <c r="W26" s="59"/>
      <c r="X26" s="58">
        <v>3900</v>
      </c>
      <c r="Y26" s="59"/>
      <c r="Z26" s="58">
        <v>3900</v>
      </c>
      <c r="AA26" s="149"/>
      <c r="AB26" s="137"/>
      <c r="AC26" s="138"/>
    </row>
    <row r="27" spans="1:29" ht="24.75" customHeight="1">
      <c r="A27" s="111"/>
      <c r="B27" s="94" t="s">
        <v>48</v>
      </c>
      <c r="C27" s="95"/>
      <c r="D27" s="58">
        <v>28430</v>
      </c>
      <c r="E27" s="59"/>
      <c r="F27" s="58">
        <v>28430</v>
      </c>
      <c r="G27" s="59"/>
      <c r="H27" s="58">
        <v>28430</v>
      </c>
      <c r="I27" s="59"/>
      <c r="J27" s="58">
        <v>28430</v>
      </c>
      <c r="K27" s="59"/>
      <c r="L27" s="58">
        <v>28430</v>
      </c>
      <c r="M27" s="59"/>
      <c r="N27" s="58">
        <v>30230</v>
      </c>
      <c r="O27" s="59"/>
      <c r="P27" s="58">
        <v>30230</v>
      </c>
      <c r="Q27" s="59"/>
      <c r="R27" s="58">
        <v>30230</v>
      </c>
      <c r="S27" s="59"/>
      <c r="T27" s="58">
        <v>30230</v>
      </c>
      <c r="U27" s="59"/>
      <c r="V27" s="58">
        <v>30230</v>
      </c>
      <c r="W27" s="59"/>
      <c r="X27" s="58">
        <v>30230</v>
      </c>
      <c r="Y27" s="59"/>
      <c r="Z27" s="58">
        <v>30230</v>
      </c>
      <c r="AA27" s="59"/>
      <c r="AB27" s="141"/>
      <c r="AC27" s="142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/>
      <c r="M28" s="102"/>
      <c r="N28" s="101"/>
      <c r="O28" s="102"/>
      <c r="P28" s="101"/>
      <c r="Q28" s="102"/>
      <c r="R28" s="101"/>
      <c r="S28" s="102"/>
      <c r="T28" s="101"/>
      <c r="U28" s="102"/>
      <c r="V28" s="101"/>
      <c r="W28" s="102"/>
      <c r="X28" s="101"/>
      <c r="Y28" s="102"/>
      <c r="Z28" s="101"/>
      <c r="AA28" s="154"/>
      <c r="AB28" s="152"/>
      <c r="AC28" s="153"/>
    </row>
    <row r="29" spans="1:29" ht="24.75" customHeight="1" thickBot="1">
      <c r="A29" s="71" t="s">
        <v>36</v>
      </c>
      <c r="B29" s="72"/>
      <c r="C29" s="73"/>
      <c r="D29" s="83">
        <f>SUM(D24:D28)</f>
        <v>34430</v>
      </c>
      <c r="E29" s="84"/>
      <c r="F29" s="83">
        <f t="shared" ref="F29" si="11">SUM(F24:F28)</f>
        <v>34430</v>
      </c>
      <c r="G29" s="84"/>
      <c r="H29" s="83">
        <f t="shared" ref="H29" si="12">SUM(H24:H28)</f>
        <v>39330</v>
      </c>
      <c r="I29" s="84"/>
      <c r="J29" s="83">
        <f t="shared" ref="J29" si="13">SUM(J24:J28)</f>
        <v>38330</v>
      </c>
      <c r="K29" s="84"/>
      <c r="L29" s="83">
        <f t="shared" ref="L29" si="14">SUM(L24:L28)</f>
        <v>38330</v>
      </c>
      <c r="M29" s="84"/>
      <c r="N29" s="83">
        <f t="shared" ref="N29" si="15">SUM(N24:N28)</f>
        <v>43130</v>
      </c>
      <c r="O29" s="84"/>
      <c r="P29" s="83">
        <f t="shared" ref="P29" si="16">SUM(P24:P28)</f>
        <v>40130</v>
      </c>
      <c r="Q29" s="84"/>
      <c r="R29" s="83">
        <f t="shared" ref="R29" si="17">SUM(R24:R28)</f>
        <v>40130</v>
      </c>
      <c r="S29" s="84"/>
      <c r="T29" s="83">
        <f t="shared" ref="T29" si="18">SUM(T24:T28)</f>
        <v>40130</v>
      </c>
      <c r="U29" s="84"/>
      <c r="V29" s="83">
        <f t="shared" ref="V29" si="19">SUM(V24:V28)</f>
        <v>40130</v>
      </c>
      <c r="W29" s="84"/>
      <c r="X29" s="83">
        <f t="shared" ref="X29" si="20">SUM(X24:X28)</f>
        <v>40130</v>
      </c>
      <c r="Y29" s="84"/>
      <c r="Z29" s="83">
        <f t="shared" ref="Z29" si="21">SUM(Z24:Z28)</f>
        <v>40130</v>
      </c>
      <c r="AA29" s="131"/>
      <c r="AB29" s="141">
        <f t="shared" ref="AB29" si="22">SUM(AB24:AB28)</f>
        <v>0</v>
      </c>
      <c r="AC29" s="142"/>
    </row>
    <row r="30" spans="1:29" ht="24.75" customHeight="1" thickTop="1" thickBot="1">
      <c r="A30" s="132" t="s">
        <v>37</v>
      </c>
      <c r="B30" s="133"/>
      <c r="C30" s="134"/>
      <c r="D30" s="126">
        <f>D23-D29</f>
        <v>165570</v>
      </c>
      <c r="E30" s="127"/>
      <c r="F30" s="126">
        <f>F23-F29</f>
        <v>165570</v>
      </c>
      <c r="G30" s="127"/>
      <c r="H30" s="126">
        <f>H23-H29</f>
        <v>160670</v>
      </c>
      <c r="I30" s="127"/>
      <c r="J30" s="126">
        <f>J23-J29</f>
        <v>161670</v>
      </c>
      <c r="K30" s="127"/>
      <c r="L30" s="126">
        <f>L23-L29</f>
        <v>161670</v>
      </c>
      <c r="M30" s="127"/>
      <c r="N30" s="126">
        <f>N23-N29</f>
        <v>306870</v>
      </c>
      <c r="O30" s="127"/>
      <c r="P30" s="126">
        <f>P23-P29</f>
        <v>159870</v>
      </c>
      <c r="Q30" s="127"/>
      <c r="R30" s="126">
        <f>R23-R29</f>
        <v>159870</v>
      </c>
      <c r="S30" s="127"/>
      <c r="T30" s="126">
        <f>T23-T29</f>
        <v>159870</v>
      </c>
      <c r="U30" s="127"/>
      <c r="V30" s="126">
        <f>V23-V29</f>
        <v>159870</v>
      </c>
      <c r="W30" s="127"/>
      <c r="X30" s="126">
        <f>X21-X29</f>
        <v>159870</v>
      </c>
      <c r="Y30" s="127"/>
      <c r="Z30" s="126">
        <f>Z23-Z29</f>
        <v>159870</v>
      </c>
      <c r="AA30" s="128"/>
      <c r="AB30" s="155">
        <f>D30+F30+H30+J30+L30+N30</f>
        <v>1122020</v>
      </c>
      <c r="AC30" s="156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X27:Y27"/>
    <mergeCell ref="Z27:AA27"/>
    <mergeCell ref="T28:U28"/>
    <mergeCell ref="V28:W28"/>
    <mergeCell ref="X28:Y28"/>
    <mergeCell ref="Z28:AA28"/>
    <mergeCell ref="AB28:AC28"/>
    <mergeCell ref="B27:C27"/>
    <mergeCell ref="D27:E27"/>
    <mergeCell ref="F27:G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H27:I27"/>
    <mergeCell ref="J27:K27"/>
    <mergeCell ref="L27:M27"/>
    <mergeCell ref="N27:O27"/>
    <mergeCell ref="AB27:AC27"/>
    <mergeCell ref="L26:M26"/>
    <mergeCell ref="N26:O26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P26:Q26"/>
    <mergeCell ref="R26:S26"/>
    <mergeCell ref="T26:U26"/>
    <mergeCell ref="V26:W26"/>
    <mergeCell ref="B25:C25"/>
    <mergeCell ref="D25:E25"/>
    <mergeCell ref="X25:Y25"/>
    <mergeCell ref="Z25:AA25"/>
    <mergeCell ref="P27:Q27"/>
    <mergeCell ref="R27:S27"/>
    <mergeCell ref="T27:U27"/>
    <mergeCell ref="V27:W27"/>
    <mergeCell ref="F23:G23"/>
    <mergeCell ref="H23:I23"/>
    <mergeCell ref="J23:K23"/>
    <mergeCell ref="L23:M23"/>
    <mergeCell ref="AB24:AC24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AB22:AC22"/>
    <mergeCell ref="A22:C22"/>
    <mergeCell ref="D22:E22"/>
    <mergeCell ref="F22:G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H22:I22"/>
    <mergeCell ref="J22:K22"/>
    <mergeCell ref="L22:M22"/>
    <mergeCell ref="R21:S21"/>
    <mergeCell ref="T21:U21"/>
    <mergeCell ref="V21:W21"/>
    <mergeCell ref="X21:Y21"/>
    <mergeCell ref="Z21:AA21"/>
    <mergeCell ref="R22:S22"/>
    <mergeCell ref="T22:U22"/>
    <mergeCell ref="V22:W22"/>
    <mergeCell ref="X22:Y22"/>
    <mergeCell ref="Z22:AA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33E4-E622-4656-AA5C-97C6FA7D0836}">
  <dimension ref="A1:AC31"/>
  <sheetViews>
    <sheetView tabSelected="1" topLeftCell="A10" workbookViewId="0">
      <selection activeCell="N13" sqref="N13:O1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133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63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1"/>
      <c r="AB6" s="60" t="s">
        <v>20</v>
      </c>
      <c r="AC6" s="64"/>
    </row>
    <row r="7" spans="1:29" ht="24.75" customHeight="1">
      <c r="A7" s="65" t="s">
        <v>40</v>
      </c>
      <c r="B7" s="66"/>
      <c r="C7" s="67"/>
      <c r="D7" s="3">
        <v>25</v>
      </c>
      <c r="E7" s="4" t="s">
        <v>21</v>
      </c>
      <c r="F7" s="3">
        <v>25</v>
      </c>
      <c r="G7" s="4" t="s">
        <v>21</v>
      </c>
      <c r="H7" s="3">
        <v>25</v>
      </c>
      <c r="I7" s="4" t="s">
        <v>21</v>
      </c>
      <c r="J7" s="3">
        <v>25</v>
      </c>
      <c r="K7" s="4" t="s">
        <v>21</v>
      </c>
      <c r="L7" s="3">
        <v>25</v>
      </c>
      <c r="M7" s="4" t="s">
        <v>21</v>
      </c>
      <c r="N7" s="3">
        <v>25</v>
      </c>
      <c r="O7" s="4" t="s">
        <v>21</v>
      </c>
      <c r="P7" s="3">
        <v>25</v>
      </c>
      <c r="Q7" s="4" t="s">
        <v>21</v>
      </c>
      <c r="R7" s="3">
        <v>25</v>
      </c>
      <c r="S7" s="4" t="s">
        <v>21</v>
      </c>
      <c r="T7" s="3">
        <v>25</v>
      </c>
      <c r="U7" s="4" t="s">
        <v>21</v>
      </c>
      <c r="V7" s="3">
        <v>25</v>
      </c>
      <c r="W7" s="4" t="s">
        <v>21</v>
      </c>
      <c r="X7" s="3">
        <v>25</v>
      </c>
      <c r="Y7" s="4" t="s">
        <v>21</v>
      </c>
      <c r="Z7" s="3">
        <v>25</v>
      </c>
      <c r="AA7" s="4" t="s">
        <v>21</v>
      </c>
      <c r="AB7" s="5"/>
      <c r="AC7" s="9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5"/>
      <c r="AC8" s="9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4.75" customHeight="1" thickBot="1">
      <c r="A10" s="65" t="s">
        <v>69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>
        <v>150000</v>
      </c>
      <c r="E11" s="75"/>
      <c r="F11" s="74">
        <v>150000</v>
      </c>
      <c r="G11" s="75"/>
      <c r="H11" s="74">
        <v>150000</v>
      </c>
      <c r="I11" s="75"/>
      <c r="J11" s="74">
        <v>150000</v>
      </c>
      <c r="K11" s="75"/>
      <c r="L11" s="74">
        <v>150000</v>
      </c>
      <c r="M11" s="75"/>
      <c r="N11" s="74">
        <v>200000</v>
      </c>
      <c r="O11" s="75"/>
      <c r="P11" s="74">
        <v>200000</v>
      </c>
      <c r="Q11" s="75"/>
      <c r="R11" s="74">
        <v>200000</v>
      </c>
      <c r="S11" s="75"/>
      <c r="T11" s="74">
        <v>200000</v>
      </c>
      <c r="U11" s="75"/>
      <c r="V11" s="74">
        <v>200000</v>
      </c>
      <c r="W11" s="75"/>
      <c r="X11" s="74">
        <v>200000</v>
      </c>
      <c r="Y11" s="75"/>
      <c r="Z11" s="74">
        <v>200000</v>
      </c>
      <c r="AA11" s="75"/>
      <c r="AB11" s="185"/>
      <c r="AC11" s="136"/>
    </row>
    <row r="12" spans="1:29" ht="24.75" customHeight="1">
      <c r="A12" s="65" t="s">
        <v>49</v>
      </c>
      <c r="B12" s="66"/>
      <c r="C12" s="67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186"/>
      <c r="AC12" s="138"/>
    </row>
    <row r="13" spans="1:29" ht="24.75" customHeight="1">
      <c r="A13" s="89" t="s">
        <v>27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59"/>
      <c r="AB13" s="186"/>
      <c r="AC13" s="138"/>
    </row>
    <row r="14" spans="1:29" ht="24.75" customHeight="1" thickBot="1">
      <c r="A14" s="80" t="s">
        <v>50</v>
      </c>
      <c r="B14" s="81"/>
      <c r="C14" s="82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187"/>
      <c r="AC14" s="140"/>
    </row>
    <row r="15" spans="1:29" ht="24.75" customHeight="1" thickTop="1">
      <c r="A15" s="91" t="s">
        <v>42</v>
      </c>
      <c r="B15" s="26" t="s">
        <v>64</v>
      </c>
      <c r="C15" s="2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>
        <v>30000</v>
      </c>
      <c r="O15" s="75"/>
      <c r="P15" s="74">
        <v>30000</v>
      </c>
      <c r="Q15" s="75"/>
      <c r="R15" s="74">
        <v>30000</v>
      </c>
      <c r="S15" s="75"/>
      <c r="T15" s="74">
        <v>30000</v>
      </c>
      <c r="U15" s="75"/>
      <c r="V15" s="74">
        <v>30000</v>
      </c>
      <c r="W15" s="75"/>
      <c r="X15" s="74">
        <v>30000</v>
      </c>
      <c r="Y15" s="75"/>
      <c r="Z15" s="74">
        <v>30000</v>
      </c>
      <c r="AA15" s="75"/>
      <c r="AB15" s="185"/>
      <c r="AC15" s="136"/>
    </row>
    <row r="16" spans="1:29" ht="24.75" customHeight="1">
      <c r="A16" s="92"/>
      <c r="B16" s="27" t="s">
        <v>65</v>
      </c>
      <c r="C16" s="19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>
        <v>10000</v>
      </c>
      <c r="O16" s="59"/>
      <c r="P16" s="58">
        <v>10000</v>
      </c>
      <c r="Q16" s="59"/>
      <c r="R16" s="58">
        <v>10000</v>
      </c>
      <c r="S16" s="59"/>
      <c r="T16" s="58">
        <v>10000</v>
      </c>
      <c r="U16" s="59"/>
      <c r="V16" s="58">
        <v>10000</v>
      </c>
      <c r="W16" s="59"/>
      <c r="X16" s="58">
        <v>10000</v>
      </c>
      <c r="Y16" s="59"/>
      <c r="Z16" s="58">
        <v>10000</v>
      </c>
      <c r="AA16" s="59"/>
      <c r="AB16" s="186"/>
      <c r="AC16" s="138"/>
    </row>
    <row r="17" spans="1:29" ht="24.75" customHeight="1">
      <c r="A17" s="92"/>
      <c r="B17" s="27" t="s">
        <v>66</v>
      </c>
      <c r="C17" s="19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>
        <v>10000</v>
      </c>
      <c r="O17" s="59"/>
      <c r="P17" s="58">
        <v>10000</v>
      </c>
      <c r="Q17" s="59"/>
      <c r="R17" s="58">
        <v>10000</v>
      </c>
      <c r="S17" s="59"/>
      <c r="T17" s="58">
        <v>10000</v>
      </c>
      <c r="U17" s="59"/>
      <c r="V17" s="58">
        <v>10000</v>
      </c>
      <c r="W17" s="59"/>
      <c r="X17" s="58">
        <v>10000</v>
      </c>
      <c r="Y17" s="59"/>
      <c r="Z17" s="58">
        <v>10000</v>
      </c>
      <c r="AA17" s="59"/>
      <c r="AB17" s="186"/>
      <c r="AC17" s="138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>
        <v>35000</v>
      </c>
      <c r="O18" s="59"/>
      <c r="P18" s="58">
        <v>35000</v>
      </c>
      <c r="Q18" s="59"/>
      <c r="R18" s="58">
        <v>35000</v>
      </c>
      <c r="S18" s="59"/>
      <c r="T18" s="58">
        <v>35000</v>
      </c>
      <c r="U18" s="59"/>
      <c r="V18" s="58">
        <v>35000</v>
      </c>
      <c r="W18" s="59"/>
      <c r="X18" s="58">
        <v>35000</v>
      </c>
      <c r="Y18" s="59"/>
      <c r="Z18" s="58">
        <v>35000</v>
      </c>
      <c r="AA18" s="59"/>
      <c r="AB18" s="186"/>
      <c r="AC18" s="138"/>
    </row>
    <row r="19" spans="1:29" ht="24.75" customHeight="1">
      <c r="A19" s="92"/>
      <c r="B19" s="94" t="s">
        <v>29</v>
      </c>
      <c r="C19" s="95"/>
      <c r="D19" s="83"/>
      <c r="E19" s="84"/>
      <c r="F19" s="83"/>
      <c r="G19" s="84"/>
      <c r="H19" s="83"/>
      <c r="I19" s="84"/>
      <c r="J19" s="83"/>
      <c r="K19" s="84"/>
      <c r="L19" s="83"/>
      <c r="M19" s="84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86"/>
      <c r="AC19" s="138"/>
    </row>
    <row r="20" spans="1:29" ht="24.75" customHeight="1" thickBot="1">
      <c r="A20" s="93"/>
      <c r="B20" s="52" t="s">
        <v>30</v>
      </c>
      <c r="C20" s="48"/>
      <c r="D20" s="85"/>
      <c r="E20" s="86"/>
      <c r="F20" s="85"/>
      <c r="G20" s="86"/>
      <c r="H20" s="85"/>
      <c r="I20" s="86"/>
      <c r="J20" s="85"/>
      <c r="K20" s="86"/>
      <c r="L20" s="85"/>
      <c r="M20" s="86"/>
      <c r="N20" s="85">
        <v>15000</v>
      </c>
      <c r="O20" s="86"/>
      <c r="P20" s="85">
        <v>15000</v>
      </c>
      <c r="Q20" s="86"/>
      <c r="R20" s="85">
        <v>15000</v>
      </c>
      <c r="S20" s="86"/>
      <c r="T20" s="85">
        <v>15000</v>
      </c>
      <c r="U20" s="86"/>
      <c r="V20" s="85">
        <v>15000</v>
      </c>
      <c r="W20" s="86"/>
      <c r="X20" s="85">
        <v>15000</v>
      </c>
      <c r="Y20" s="86"/>
      <c r="Z20" s="85">
        <v>15000</v>
      </c>
      <c r="AA20" s="86"/>
      <c r="AB20" s="187"/>
      <c r="AC20" s="140"/>
    </row>
    <row r="21" spans="1:29" ht="24.75" customHeight="1" thickTop="1">
      <c r="A21" s="71" t="s">
        <v>31</v>
      </c>
      <c r="B21" s="72"/>
      <c r="C21" s="73"/>
      <c r="D21" s="83">
        <f>SUM(D11:D20)</f>
        <v>150000</v>
      </c>
      <c r="E21" s="84"/>
      <c r="F21" s="83">
        <f t="shared" ref="F21" si="0">SUM(F11:F20)</f>
        <v>150000</v>
      </c>
      <c r="G21" s="84"/>
      <c r="H21" s="83">
        <f t="shared" ref="H21" si="1">SUM(H11:H20)</f>
        <v>150000</v>
      </c>
      <c r="I21" s="84"/>
      <c r="J21" s="83">
        <f t="shared" ref="J21" si="2">SUM(J11:J20)</f>
        <v>150000</v>
      </c>
      <c r="K21" s="84"/>
      <c r="L21" s="83">
        <f t="shared" ref="L21" si="3">SUM(L11:L20)</f>
        <v>150000</v>
      </c>
      <c r="M21" s="84"/>
      <c r="N21" s="83">
        <f t="shared" ref="N21" si="4">SUM(N11:N20)</f>
        <v>300000</v>
      </c>
      <c r="O21" s="84"/>
      <c r="P21" s="83">
        <f t="shared" ref="P21" si="5">SUM(P11:P20)</f>
        <v>300000</v>
      </c>
      <c r="Q21" s="84"/>
      <c r="R21" s="83">
        <f t="shared" ref="R21" si="6">SUM(R11:R20)</f>
        <v>300000</v>
      </c>
      <c r="S21" s="84"/>
      <c r="T21" s="83">
        <f t="shared" ref="T21" si="7">SUM(T11:T20)</f>
        <v>300000</v>
      </c>
      <c r="U21" s="84"/>
      <c r="V21" s="83">
        <f t="shared" ref="V21" si="8">SUM(V11:V20)</f>
        <v>300000</v>
      </c>
      <c r="W21" s="84"/>
      <c r="X21" s="83">
        <f t="shared" ref="X21" si="9">SUM(X11:X20)</f>
        <v>300000</v>
      </c>
      <c r="Y21" s="84"/>
      <c r="Z21" s="83">
        <f t="shared" ref="Z21" si="10">SUM(Z11:Z20)</f>
        <v>300000</v>
      </c>
      <c r="AA21" s="84"/>
      <c r="AB21" s="188"/>
      <c r="AC21" s="142"/>
    </row>
    <row r="22" spans="1:29" ht="24.75" customHeight="1" thickBot="1">
      <c r="A22" s="98" t="s">
        <v>39</v>
      </c>
      <c r="B22" s="99"/>
      <c r="C22" s="100"/>
      <c r="D22" s="143"/>
      <c r="E22" s="144"/>
      <c r="F22" s="143"/>
      <c r="G22" s="144"/>
      <c r="H22" s="143"/>
      <c r="I22" s="144"/>
      <c r="J22" s="143"/>
      <c r="K22" s="144"/>
      <c r="L22" s="143"/>
      <c r="M22" s="144"/>
      <c r="N22" s="143"/>
      <c r="O22" s="144"/>
      <c r="P22" s="143"/>
      <c r="Q22" s="144"/>
      <c r="R22" s="143"/>
      <c r="S22" s="144"/>
      <c r="T22" s="143"/>
      <c r="U22" s="144"/>
      <c r="V22" s="143"/>
      <c r="W22" s="144"/>
      <c r="X22" s="143"/>
      <c r="Y22" s="144"/>
      <c r="Z22" s="143"/>
      <c r="AA22" s="144"/>
      <c r="AB22" s="189"/>
      <c r="AC22" s="146"/>
    </row>
    <row r="23" spans="1:29" ht="24.75" customHeight="1" thickBot="1">
      <c r="A23" s="117" t="s">
        <v>20</v>
      </c>
      <c r="B23" s="118"/>
      <c r="C23" s="119"/>
      <c r="D23" s="105">
        <f>SUM(D21:D22)</f>
        <v>150000</v>
      </c>
      <c r="E23" s="106"/>
      <c r="F23" s="105">
        <f>SUM(F21:F22)</f>
        <v>150000</v>
      </c>
      <c r="G23" s="106"/>
      <c r="H23" s="105">
        <f>SUM(H21:H22)</f>
        <v>150000</v>
      </c>
      <c r="I23" s="106"/>
      <c r="J23" s="105">
        <f>SUM(J21:J22)</f>
        <v>150000</v>
      </c>
      <c r="K23" s="106"/>
      <c r="L23" s="105">
        <f>SUM(L21:L22)</f>
        <v>150000</v>
      </c>
      <c r="M23" s="106"/>
      <c r="N23" s="105">
        <f>SUM(N21:N22)</f>
        <v>300000</v>
      </c>
      <c r="O23" s="106"/>
      <c r="P23" s="105">
        <f>SUM(P21:P22)</f>
        <v>300000</v>
      </c>
      <c r="Q23" s="106"/>
      <c r="R23" s="105">
        <f>SUM(R21:R22)</f>
        <v>300000</v>
      </c>
      <c r="S23" s="106"/>
      <c r="T23" s="105">
        <f>SUM(T21:T22)</f>
        <v>300000</v>
      </c>
      <c r="U23" s="106"/>
      <c r="V23" s="105">
        <f>SUM(V21:V22)</f>
        <v>300000</v>
      </c>
      <c r="W23" s="106"/>
      <c r="X23" s="105">
        <f>SUM(X21:X22)</f>
        <v>300000</v>
      </c>
      <c r="Y23" s="106"/>
      <c r="Z23" s="105">
        <f>SUM(Z21:Z22)</f>
        <v>300000</v>
      </c>
      <c r="AA23" s="106"/>
      <c r="AB23" s="190"/>
      <c r="AC23" s="148"/>
    </row>
    <row r="24" spans="1:29" ht="24.75" customHeight="1">
      <c r="A24" s="109" t="s">
        <v>33</v>
      </c>
      <c r="B24" s="113" t="s">
        <v>34</v>
      </c>
      <c r="C24" s="114"/>
      <c r="D24" s="115">
        <f>D23*0.003</f>
        <v>450</v>
      </c>
      <c r="E24" s="116"/>
      <c r="F24" s="115">
        <f>F23*0.003</f>
        <v>450</v>
      </c>
      <c r="G24" s="116"/>
      <c r="H24" s="115">
        <f>H23*0.003</f>
        <v>450</v>
      </c>
      <c r="I24" s="116"/>
      <c r="J24" s="115">
        <f t="shared" ref="J24" si="11">J23*0.003</f>
        <v>450</v>
      </c>
      <c r="K24" s="116"/>
      <c r="L24" s="115">
        <f t="shared" ref="L24" si="12">L23*0.003</f>
        <v>450</v>
      </c>
      <c r="M24" s="116"/>
      <c r="N24" s="115">
        <f t="shared" ref="N24" si="13">N23*0.003</f>
        <v>900</v>
      </c>
      <c r="O24" s="116"/>
      <c r="P24" s="115">
        <f t="shared" ref="P24" si="14">P23*0.003</f>
        <v>900</v>
      </c>
      <c r="Q24" s="116"/>
      <c r="R24" s="115">
        <f t="shared" ref="R24" si="15">R23*0.003</f>
        <v>900</v>
      </c>
      <c r="S24" s="116"/>
      <c r="T24" s="115">
        <f t="shared" ref="T24" si="16">T23*0.003</f>
        <v>900</v>
      </c>
      <c r="U24" s="116"/>
      <c r="V24" s="115">
        <f t="shared" ref="V24" si="17">V23*0.003</f>
        <v>900</v>
      </c>
      <c r="W24" s="116"/>
      <c r="X24" s="115">
        <f t="shared" ref="X24" si="18">X23*0.003</f>
        <v>900</v>
      </c>
      <c r="Y24" s="116"/>
      <c r="Z24" s="115">
        <f t="shared" ref="Z24" si="19">Z23*0.003</f>
        <v>900</v>
      </c>
      <c r="AA24" s="116"/>
      <c r="AB24" s="191"/>
      <c r="AC24" s="151"/>
    </row>
    <row r="25" spans="1:29" ht="24.75" customHeight="1">
      <c r="A25" s="110"/>
      <c r="B25" s="94" t="s">
        <v>35</v>
      </c>
      <c r="C25" s="95"/>
      <c r="D25" s="58">
        <v>4500</v>
      </c>
      <c r="E25" s="59"/>
      <c r="F25" s="58">
        <v>4500</v>
      </c>
      <c r="G25" s="59"/>
      <c r="H25" s="58">
        <v>4500</v>
      </c>
      <c r="I25" s="59"/>
      <c r="J25" s="58">
        <v>4500</v>
      </c>
      <c r="K25" s="59"/>
      <c r="L25" s="58">
        <v>4500</v>
      </c>
      <c r="M25" s="59"/>
      <c r="N25" s="58">
        <v>8000</v>
      </c>
      <c r="O25" s="59"/>
      <c r="P25" s="58">
        <v>8000</v>
      </c>
      <c r="Q25" s="59"/>
      <c r="R25" s="58">
        <v>8000</v>
      </c>
      <c r="S25" s="59"/>
      <c r="T25" s="58">
        <v>8000</v>
      </c>
      <c r="U25" s="59"/>
      <c r="V25" s="58">
        <v>9000</v>
      </c>
      <c r="W25" s="59"/>
      <c r="X25" s="58">
        <v>9000</v>
      </c>
      <c r="Y25" s="59"/>
      <c r="Z25" s="58">
        <v>9000</v>
      </c>
      <c r="AA25" s="59"/>
      <c r="AB25" s="186"/>
      <c r="AC25" s="138"/>
    </row>
    <row r="26" spans="1:29" ht="24.75" customHeight="1">
      <c r="A26" s="110"/>
      <c r="B26" s="94" t="s">
        <v>47</v>
      </c>
      <c r="C26" s="95"/>
      <c r="D26" s="58">
        <v>2200</v>
      </c>
      <c r="E26" s="59"/>
      <c r="F26" s="58">
        <v>2200</v>
      </c>
      <c r="G26" s="59"/>
      <c r="H26" s="58">
        <v>3600</v>
      </c>
      <c r="I26" s="59"/>
      <c r="J26" s="58">
        <v>3500</v>
      </c>
      <c r="K26" s="59"/>
      <c r="L26" s="58">
        <v>3500</v>
      </c>
      <c r="M26" s="59"/>
      <c r="N26" s="58">
        <v>3500</v>
      </c>
      <c r="O26" s="59"/>
      <c r="P26" s="58">
        <v>3500</v>
      </c>
      <c r="Q26" s="59"/>
      <c r="R26" s="58">
        <v>3500</v>
      </c>
      <c r="S26" s="59"/>
      <c r="T26" s="58">
        <v>3500</v>
      </c>
      <c r="U26" s="59"/>
      <c r="V26" s="58">
        <v>3500</v>
      </c>
      <c r="W26" s="59"/>
      <c r="X26" s="58">
        <v>3500</v>
      </c>
      <c r="Y26" s="59"/>
      <c r="Z26" s="58">
        <v>3500</v>
      </c>
      <c r="AA26" s="59"/>
      <c r="AB26" s="186"/>
      <c r="AC26" s="138"/>
    </row>
    <row r="27" spans="1:29" ht="24.75" customHeight="1">
      <c r="A27" s="111"/>
      <c r="B27" s="94" t="s">
        <v>48</v>
      </c>
      <c r="C27" s="95"/>
      <c r="D27" s="83">
        <v>21322</v>
      </c>
      <c r="E27" s="84"/>
      <c r="F27" s="83">
        <v>21322</v>
      </c>
      <c r="G27" s="84"/>
      <c r="H27" s="83">
        <v>21322</v>
      </c>
      <c r="I27" s="84"/>
      <c r="J27" s="83">
        <v>21322</v>
      </c>
      <c r="K27" s="84"/>
      <c r="L27" s="83">
        <v>21322</v>
      </c>
      <c r="M27" s="84"/>
      <c r="N27" s="83">
        <v>22717</v>
      </c>
      <c r="O27" s="84"/>
      <c r="P27" s="83">
        <v>22717</v>
      </c>
      <c r="Q27" s="84"/>
      <c r="R27" s="83">
        <v>22717</v>
      </c>
      <c r="S27" s="84"/>
      <c r="T27" s="83">
        <v>22717</v>
      </c>
      <c r="U27" s="84"/>
      <c r="V27" s="83">
        <v>22717</v>
      </c>
      <c r="W27" s="84"/>
      <c r="X27" s="83">
        <v>22717</v>
      </c>
      <c r="Y27" s="84"/>
      <c r="Z27" s="83">
        <v>22717</v>
      </c>
      <c r="AA27" s="84"/>
      <c r="AB27" s="188"/>
      <c r="AC27" s="142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/>
      <c r="M28" s="102"/>
      <c r="N28" s="101"/>
      <c r="O28" s="102"/>
      <c r="P28" s="101"/>
      <c r="Q28" s="102"/>
      <c r="R28" s="101"/>
      <c r="S28" s="102"/>
      <c r="T28" s="101"/>
      <c r="U28" s="102"/>
      <c r="V28" s="101"/>
      <c r="W28" s="102"/>
      <c r="X28" s="101"/>
      <c r="Y28" s="102"/>
      <c r="Z28" s="101"/>
      <c r="AA28" s="102"/>
      <c r="AB28" s="192"/>
      <c r="AC28" s="153"/>
    </row>
    <row r="29" spans="1:29" ht="24.75" customHeight="1" thickBot="1">
      <c r="A29" s="71" t="s">
        <v>36</v>
      </c>
      <c r="B29" s="72"/>
      <c r="C29" s="73"/>
      <c r="D29" s="83">
        <f>SUM(D24:D28)</f>
        <v>28472</v>
      </c>
      <c r="E29" s="84"/>
      <c r="F29" s="83">
        <f t="shared" ref="F29" si="20">SUM(F24:F28)</f>
        <v>28472</v>
      </c>
      <c r="G29" s="84"/>
      <c r="H29" s="83">
        <f t="shared" ref="H29" si="21">SUM(H24:H28)</f>
        <v>29872</v>
      </c>
      <c r="I29" s="84"/>
      <c r="J29" s="83">
        <f t="shared" ref="J29" si="22">SUM(J24:J28)</f>
        <v>29772</v>
      </c>
      <c r="K29" s="84"/>
      <c r="L29" s="83">
        <f t="shared" ref="L29" si="23">SUM(L24:L28)</f>
        <v>29772</v>
      </c>
      <c r="M29" s="84"/>
      <c r="N29" s="83">
        <f t="shared" ref="N29" si="24">SUM(N24:N28)</f>
        <v>35117</v>
      </c>
      <c r="O29" s="84"/>
      <c r="P29" s="83">
        <f t="shared" ref="P29" si="25">SUM(P24:P28)</f>
        <v>35117</v>
      </c>
      <c r="Q29" s="84"/>
      <c r="R29" s="83">
        <f t="shared" ref="R29" si="26">SUM(R24:R28)</f>
        <v>35117</v>
      </c>
      <c r="S29" s="84"/>
      <c r="T29" s="83">
        <f t="shared" ref="T29" si="27">SUM(T24:T28)</f>
        <v>35117</v>
      </c>
      <c r="U29" s="84"/>
      <c r="V29" s="83">
        <f t="shared" ref="V29" si="28">SUM(V24:V28)</f>
        <v>36117</v>
      </c>
      <c r="W29" s="84"/>
      <c r="X29" s="83">
        <f t="shared" ref="X29" si="29">SUM(X24:X28)</f>
        <v>36117</v>
      </c>
      <c r="Y29" s="84"/>
      <c r="Z29" s="83">
        <f t="shared" ref="Z29" si="30">SUM(Z24:Z28)</f>
        <v>36117</v>
      </c>
      <c r="AA29" s="84"/>
      <c r="AB29" s="188"/>
      <c r="AC29" s="142"/>
    </row>
    <row r="30" spans="1:29" ht="24.75" customHeight="1" thickTop="1" thickBot="1">
      <c r="A30" s="132" t="s">
        <v>37</v>
      </c>
      <c r="B30" s="133"/>
      <c r="C30" s="134"/>
      <c r="D30" s="126">
        <f>D23-D29</f>
        <v>121528</v>
      </c>
      <c r="E30" s="127"/>
      <c r="F30" s="126">
        <f>F23-F29</f>
        <v>121528</v>
      </c>
      <c r="G30" s="127"/>
      <c r="H30" s="126">
        <f>H23-H29</f>
        <v>120128</v>
      </c>
      <c r="I30" s="127"/>
      <c r="J30" s="126">
        <f>J23-J29</f>
        <v>120228</v>
      </c>
      <c r="K30" s="127"/>
      <c r="L30" s="126">
        <f>L21-L29</f>
        <v>120228</v>
      </c>
      <c r="M30" s="127"/>
      <c r="N30" s="126">
        <f>N23-N29</f>
        <v>264883</v>
      </c>
      <c r="O30" s="127"/>
      <c r="P30" s="126">
        <f>P21-P29</f>
        <v>264883</v>
      </c>
      <c r="Q30" s="127"/>
      <c r="R30" s="126">
        <v>264883</v>
      </c>
      <c r="S30" s="127"/>
      <c r="T30" s="126">
        <v>264883</v>
      </c>
      <c r="U30" s="127"/>
      <c r="V30" s="126">
        <v>263883</v>
      </c>
      <c r="W30" s="127"/>
      <c r="X30" s="126">
        <v>263883</v>
      </c>
      <c r="Y30" s="127"/>
      <c r="Z30" s="126">
        <v>263883</v>
      </c>
      <c r="AA30" s="127"/>
      <c r="AB30" s="193"/>
      <c r="AC30" s="156"/>
    </row>
    <row r="31" spans="1:29">
      <c r="AB31" s="25"/>
      <c r="AC31" s="25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B962-9948-49A4-8E9A-AEFFF224F343}">
  <sheetPr>
    <tabColor theme="5"/>
  </sheetPr>
  <dimension ref="A1:AC31"/>
  <sheetViews>
    <sheetView topLeftCell="A11" workbookViewId="0">
      <selection activeCell="A33" sqref="A3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2.5" customHeight="1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22.5" customHeight="1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22.5" customHeight="1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22.5" customHeight="1" thickBot="1">
      <c r="A4" s="45"/>
      <c r="B4" s="46"/>
      <c r="C4" s="47"/>
      <c r="D4" s="48"/>
      <c r="E4" s="49" t="s">
        <v>5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178" t="s">
        <v>82</v>
      </c>
      <c r="T4" s="179"/>
      <c r="U4" s="179"/>
      <c r="V4" s="179"/>
      <c r="W4" s="179"/>
      <c r="X4" s="179"/>
      <c r="Y4" s="180"/>
      <c r="Z4" s="56" t="s">
        <v>6</v>
      </c>
      <c r="AA4" s="56"/>
      <c r="AB4" s="56"/>
      <c r="AC4" s="57"/>
    </row>
    <row r="5" spans="1:29" ht="22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2.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1"/>
      <c r="AB6" s="60" t="s">
        <v>20</v>
      </c>
      <c r="AC6" s="64"/>
    </row>
    <row r="7" spans="1:29" ht="22.5" customHeight="1">
      <c r="A7" s="65" t="s">
        <v>40</v>
      </c>
      <c r="B7" s="66"/>
      <c r="C7" s="67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5"/>
      <c r="AC7" s="9" t="s">
        <v>21</v>
      </c>
    </row>
    <row r="8" spans="1:29" ht="22.5" customHeight="1">
      <c r="A8" s="65" t="s">
        <v>41</v>
      </c>
      <c r="B8" s="66"/>
      <c r="C8" s="67"/>
      <c r="D8" s="3">
        <v>15</v>
      </c>
      <c r="E8" s="4" t="s">
        <v>21</v>
      </c>
      <c r="F8" s="3">
        <v>15</v>
      </c>
      <c r="G8" s="4" t="s">
        <v>21</v>
      </c>
      <c r="H8" s="3">
        <v>15</v>
      </c>
      <c r="I8" s="4" t="s">
        <v>21</v>
      </c>
      <c r="J8" s="3">
        <v>15</v>
      </c>
      <c r="K8" s="4" t="s">
        <v>21</v>
      </c>
      <c r="L8" s="3">
        <v>15</v>
      </c>
      <c r="M8" s="4" t="s">
        <v>21</v>
      </c>
      <c r="N8" s="3">
        <v>15</v>
      </c>
      <c r="O8" s="4" t="s">
        <v>21</v>
      </c>
      <c r="P8" s="3">
        <v>15</v>
      </c>
      <c r="Q8" s="4" t="s">
        <v>21</v>
      </c>
      <c r="R8" s="3">
        <v>15</v>
      </c>
      <c r="S8" s="4" t="s">
        <v>21</v>
      </c>
      <c r="T8" s="3">
        <v>16</v>
      </c>
      <c r="U8" s="4" t="s">
        <v>21</v>
      </c>
      <c r="V8" s="3">
        <v>15</v>
      </c>
      <c r="W8" s="4" t="s">
        <v>21</v>
      </c>
      <c r="X8" s="3">
        <v>15</v>
      </c>
      <c r="Y8" s="4" t="s">
        <v>21</v>
      </c>
      <c r="Z8" s="3">
        <v>15</v>
      </c>
      <c r="AA8" s="4" t="s">
        <v>21</v>
      </c>
      <c r="AB8" s="5"/>
      <c r="AC8" s="9" t="s">
        <v>22</v>
      </c>
    </row>
    <row r="9" spans="1:29" ht="22.5" customHeight="1">
      <c r="A9" s="65" t="s">
        <v>112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2.5" customHeight="1" thickBot="1">
      <c r="A10" s="80" t="s">
        <v>25</v>
      </c>
      <c r="B10" s="81"/>
      <c r="C10" s="8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2.5" customHeight="1" thickTop="1">
      <c r="A11" s="71" t="s">
        <v>26</v>
      </c>
      <c r="B11" s="72"/>
      <c r="C11" s="73"/>
      <c r="D11" s="74"/>
      <c r="E11" s="75"/>
      <c r="F11" s="74"/>
      <c r="G11" s="75"/>
      <c r="H11" s="74"/>
      <c r="I11" s="75"/>
      <c r="J11" s="74"/>
      <c r="K11" s="75"/>
      <c r="L11" s="74"/>
      <c r="M11" s="75"/>
      <c r="N11" s="74"/>
      <c r="O11" s="75"/>
      <c r="P11" s="74"/>
      <c r="Q11" s="75"/>
      <c r="R11" s="74"/>
      <c r="S11" s="75"/>
      <c r="T11" s="74"/>
      <c r="U11" s="75"/>
      <c r="V11" s="74"/>
      <c r="W11" s="75"/>
      <c r="X11" s="74"/>
      <c r="Y11" s="75"/>
      <c r="Z11" s="74"/>
      <c r="AA11" s="75"/>
      <c r="AB11" s="74"/>
      <c r="AC11" s="75"/>
    </row>
    <row r="12" spans="1:29" ht="22.5" customHeight="1">
      <c r="A12" s="65" t="s">
        <v>49</v>
      </c>
      <c r="B12" s="66"/>
      <c r="C12" s="67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58"/>
      <c r="AC12" s="79"/>
    </row>
    <row r="13" spans="1:29" ht="22.5" customHeight="1">
      <c r="A13" s="89" t="s">
        <v>27</v>
      </c>
      <c r="B13" s="90"/>
      <c r="C13" s="66"/>
      <c r="D13" s="58">
        <v>9200</v>
      </c>
      <c r="E13" s="59"/>
      <c r="F13" s="58">
        <v>9500</v>
      </c>
      <c r="G13" s="59"/>
      <c r="H13" s="58">
        <v>9500</v>
      </c>
      <c r="I13" s="59"/>
      <c r="J13" s="58">
        <v>9500</v>
      </c>
      <c r="K13" s="59"/>
      <c r="L13" s="58">
        <v>9500</v>
      </c>
      <c r="M13" s="59"/>
      <c r="N13" s="58">
        <v>9500</v>
      </c>
      <c r="O13" s="59"/>
      <c r="P13" s="58">
        <v>9500</v>
      </c>
      <c r="Q13" s="59"/>
      <c r="R13" s="58">
        <v>9500</v>
      </c>
      <c r="S13" s="59"/>
      <c r="T13" s="58">
        <v>9500</v>
      </c>
      <c r="U13" s="59"/>
      <c r="V13" s="58">
        <v>9500</v>
      </c>
      <c r="W13" s="59"/>
      <c r="X13" s="58">
        <v>9500</v>
      </c>
      <c r="Y13" s="59"/>
      <c r="Z13" s="58">
        <v>9500</v>
      </c>
      <c r="AA13" s="59"/>
      <c r="AB13" s="58">
        <v>10750</v>
      </c>
      <c r="AC13" s="79"/>
    </row>
    <row r="14" spans="1:29" ht="22.5" customHeight="1" thickBot="1">
      <c r="A14" s="80" t="s">
        <v>50</v>
      </c>
      <c r="B14" s="81"/>
      <c r="C14" s="82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85"/>
      <c r="AC14" s="88"/>
    </row>
    <row r="15" spans="1:29" ht="22.5" customHeight="1" thickTop="1">
      <c r="A15" s="92" t="s">
        <v>42</v>
      </c>
      <c r="B15" s="17"/>
      <c r="C15" s="6" t="s">
        <v>43</v>
      </c>
      <c r="D15" s="83"/>
      <c r="E15" s="84"/>
      <c r="F15" s="83"/>
      <c r="G15" s="84"/>
      <c r="H15" s="83"/>
      <c r="I15" s="84"/>
      <c r="J15" s="83"/>
      <c r="K15" s="84"/>
      <c r="L15" s="83"/>
      <c r="M15" s="84"/>
      <c r="N15" s="83"/>
      <c r="O15" s="84"/>
      <c r="P15" s="83"/>
      <c r="Q15" s="84"/>
      <c r="R15" s="83"/>
      <c r="S15" s="84"/>
      <c r="T15" s="83"/>
      <c r="U15" s="84"/>
      <c r="V15" s="83"/>
      <c r="W15" s="84"/>
      <c r="X15" s="83"/>
      <c r="Y15" s="84"/>
      <c r="Z15" s="83"/>
      <c r="AA15" s="84"/>
      <c r="AB15" s="83"/>
      <c r="AC15" s="97"/>
    </row>
    <row r="16" spans="1:29" ht="22.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58"/>
      <c r="AC16" s="79"/>
    </row>
    <row r="17" spans="1:29" ht="22.5" customHeight="1">
      <c r="A17" s="92"/>
      <c r="B17" s="16"/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58"/>
      <c r="AC17" s="79"/>
    </row>
    <row r="18" spans="1:29" ht="22.5" customHeight="1">
      <c r="A18" s="92"/>
      <c r="B18" s="94" t="s">
        <v>28</v>
      </c>
      <c r="C18" s="95"/>
      <c r="D18" s="58">
        <v>3375</v>
      </c>
      <c r="E18" s="59"/>
      <c r="F18" s="58">
        <v>3375</v>
      </c>
      <c r="G18" s="59"/>
      <c r="H18" s="58">
        <v>3375</v>
      </c>
      <c r="I18" s="59"/>
      <c r="J18" s="58">
        <v>3375</v>
      </c>
      <c r="K18" s="59"/>
      <c r="L18" s="58">
        <v>3600</v>
      </c>
      <c r="M18" s="59"/>
      <c r="N18" s="58">
        <v>3600</v>
      </c>
      <c r="O18" s="59"/>
      <c r="P18" s="58">
        <v>3600</v>
      </c>
      <c r="Q18" s="59"/>
      <c r="R18" s="58">
        <v>3600</v>
      </c>
      <c r="S18" s="59"/>
      <c r="T18" s="58">
        <v>3600</v>
      </c>
      <c r="U18" s="59"/>
      <c r="V18" s="58">
        <v>3600</v>
      </c>
      <c r="W18" s="59"/>
      <c r="X18" s="58">
        <v>3600</v>
      </c>
      <c r="Y18" s="59"/>
      <c r="Z18" s="58">
        <v>3600</v>
      </c>
      <c r="AA18" s="59"/>
      <c r="AB18" s="58"/>
      <c r="AC18" s="79"/>
    </row>
    <row r="19" spans="1:29" ht="22.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58"/>
      <c r="AC19" s="79"/>
    </row>
    <row r="20" spans="1:29" ht="22.5" customHeight="1">
      <c r="A20" s="110"/>
      <c r="B20" s="94" t="s">
        <v>30</v>
      </c>
      <c r="C20" s="95"/>
      <c r="D20" s="58"/>
      <c r="E20" s="59"/>
      <c r="F20" s="58"/>
      <c r="G20" s="59"/>
      <c r="H20" s="58"/>
      <c r="I20" s="59"/>
      <c r="J20" s="58"/>
      <c r="K20" s="59"/>
      <c r="L20" s="58"/>
      <c r="M20" s="59"/>
      <c r="N20" s="58"/>
      <c r="O20" s="59"/>
      <c r="P20" s="58"/>
      <c r="Q20" s="59"/>
      <c r="R20" s="58"/>
      <c r="S20" s="59"/>
      <c r="T20" s="58"/>
      <c r="U20" s="59"/>
      <c r="V20" s="58"/>
      <c r="W20" s="59"/>
      <c r="X20" s="58"/>
      <c r="Y20" s="59"/>
      <c r="Z20" s="58"/>
      <c r="AA20" s="59"/>
      <c r="AB20" s="58"/>
      <c r="AC20" s="79"/>
    </row>
    <row r="21" spans="1:29" ht="22.5" customHeight="1">
      <c r="A21" s="65" t="s">
        <v>31</v>
      </c>
      <c r="B21" s="66"/>
      <c r="C21" s="67"/>
      <c r="D21" s="58">
        <f>INT(D7*D11+D8*D13+D9*D12+D10*D14+D15+D16+D17+D18+D19+D20)</f>
        <v>141375</v>
      </c>
      <c r="E21" s="59"/>
      <c r="F21" s="58">
        <f>INT(F7*F11+F8*F13+F9*F12+F10*F14+F15+F16+F17+F18+F19+F20)</f>
        <v>145875</v>
      </c>
      <c r="G21" s="59"/>
      <c r="H21" s="58">
        <f>INT(H7*H11+H8*H13+H9*H12+H10*H14+H15+H16+H17+H18+H19+H20)</f>
        <v>145875</v>
      </c>
      <c r="I21" s="59"/>
      <c r="J21" s="58">
        <f>INT(J7*J11+J8*J13+J9*J12+J10*J14+J15+J16+J17+J18+J19+J20)</f>
        <v>145875</v>
      </c>
      <c r="K21" s="59"/>
      <c r="L21" s="58">
        <f>INT(L7*L11+L8*L13+L9*L12+L10*L14+L15+L16+L17+L18+L19+L20)</f>
        <v>146100</v>
      </c>
      <c r="M21" s="59"/>
      <c r="N21" s="58">
        <f>INT(N7*N11+N8*N13+N9*N12+N10*N14+N15+N16+N17+N18+N19+N20)</f>
        <v>146100</v>
      </c>
      <c r="O21" s="59"/>
      <c r="P21" s="58">
        <f>INT(P7*P11+P8*P13+P9*P12+P10*P14+P15+P16+P17+P18+P19+P20)</f>
        <v>146100</v>
      </c>
      <c r="Q21" s="59"/>
      <c r="R21" s="58">
        <f>INT(R7*R11+R8*R13+R9*R12+R10*R14+R15+R16+R17+R18+R19+R20)</f>
        <v>146100</v>
      </c>
      <c r="S21" s="59"/>
      <c r="T21" s="58">
        <f>INT(T7*T11+T8*T13+T9*T12+T10*T14+T15+T16+T17+T18+T19+T20)</f>
        <v>155600</v>
      </c>
      <c r="U21" s="59"/>
      <c r="V21" s="58">
        <f>INT(V7*V11+V8*V13+V9*V12+V10*V14+V15+V16+V17+V18+V19+V20)</f>
        <v>146100</v>
      </c>
      <c r="W21" s="59"/>
      <c r="X21" s="58">
        <f>INT(X7*X11+X8*X13+X9*X12+X10*X14+X15+X16+X17+X18+X19+X20)</f>
        <v>146100</v>
      </c>
      <c r="Y21" s="59"/>
      <c r="Z21" s="58">
        <f>INT(Z7*Z11+Z8*Z13+Z9*Z12+Z10*Z14+Z15+Z16+Z17+Z18+Z19+Z20)</f>
        <v>146100</v>
      </c>
      <c r="AA21" s="59"/>
      <c r="AB21" s="58">
        <f>D21+F21+H21+J21+L21+N21</f>
        <v>871200</v>
      </c>
      <c r="AC21" s="79"/>
    </row>
    <row r="22" spans="1:29" ht="22.5" customHeight="1">
      <c r="A22" s="65" t="s">
        <v>32</v>
      </c>
      <c r="B22" s="66"/>
      <c r="C22" s="67"/>
      <c r="D22" s="58"/>
      <c r="E22" s="59"/>
      <c r="F22" s="58"/>
      <c r="G22" s="59"/>
      <c r="H22" s="58"/>
      <c r="I22" s="59"/>
      <c r="J22" s="58"/>
      <c r="K22" s="59"/>
      <c r="L22" s="58"/>
      <c r="M22" s="59"/>
      <c r="N22" s="58"/>
      <c r="O22" s="59"/>
      <c r="P22" s="58"/>
      <c r="Q22" s="59"/>
      <c r="R22" s="58"/>
      <c r="S22" s="59"/>
      <c r="T22" s="58"/>
      <c r="U22" s="59"/>
      <c r="V22" s="58"/>
      <c r="W22" s="59"/>
      <c r="X22" s="58"/>
      <c r="Y22" s="59"/>
      <c r="Z22" s="58"/>
      <c r="AA22" s="59"/>
      <c r="AB22" s="58"/>
      <c r="AC22" s="79"/>
    </row>
    <row r="23" spans="1:29" ht="22.5" customHeight="1" thickBot="1">
      <c r="A23" s="98" t="s">
        <v>39</v>
      </c>
      <c r="B23" s="99"/>
      <c r="C23" s="100"/>
      <c r="D23" s="143"/>
      <c r="E23" s="144"/>
      <c r="F23" s="143"/>
      <c r="G23" s="144"/>
      <c r="H23" s="143"/>
      <c r="I23" s="144"/>
      <c r="J23" s="143"/>
      <c r="K23" s="144"/>
      <c r="L23" s="143"/>
      <c r="M23" s="144"/>
      <c r="N23" s="143"/>
      <c r="O23" s="144"/>
      <c r="P23" s="143"/>
      <c r="Q23" s="144"/>
      <c r="R23" s="143"/>
      <c r="S23" s="144"/>
      <c r="T23" s="143"/>
      <c r="U23" s="144"/>
      <c r="V23" s="143"/>
      <c r="W23" s="144"/>
      <c r="X23" s="143"/>
      <c r="Y23" s="144"/>
      <c r="Z23" s="143"/>
      <c r="AA23" s="144"/>
      <c r="AB23" s="143"/>
      <c r="AC23" s="104"/>
    </row>
    <row r="24" spans="1:29" ht="22.5" customHeight="1" thickBot="1">
      <c r="A24" s="117" t="s">
        <v>20</v>
      </c>
      <c r="B24" s="118"/>
      <c r="C24" s="119"/>
      <c r="D24" s="105">
        <f>D21+D22+D23</f>
        <v>141375</v>
      </c>
      <c r="E24" s="106"/>
      <c r="F24" s="105">
        <f>F21+F22+F23</f>
        <v>145875</v>
      </c>
      <c r="G24" s="106"/>
      <c r="H24" s="105">
        <f>H21+H22+H23</f>
        <v>145875</v>
      </c>
      <c r="I24" s="106"/>
      <c r="J24" s="105">
        <f>J21+J22+J23</f>
        <v>145875</v>
      </c>
      <c r="K24" s="106"/>
      <c r="L24" s="105">
        <f>L21+L22+L23</f>
        <v>146100</v>
      </c>
      <c r="M24" s="106"/>
      <c r="N24" s="105">
        <f>N21+N22+N23</f>
        <v>146100</v>
      </c>
      <c r="O24" s="106"/>
      <c r="P24" s="105">
        <f>P21+P22+P23</f>
        <v>146100</v>
      </c>
      <c r="Q24" s="106"/>
      <c r="R24" s="105">
        <f>R21+R22+R23</f>
        <v>146100</v>
      </c>
      <c r="S24" s="106"/>
      <c r="T24" s="105">
        <f>T21+T22+T23</f>
        <v>155600</v>
      </c>
      <c r="U24" s="106"/>
      <c r="V24" s="105">
        <f>V21+V22+V23</f>
        <v>146100</v>
      </c>
      <c r="W24" s="106"/>
      <c r="X24" s="105">
        <f>X21+X22+X23</f>
        <v>146100</v>
      </c>
      <c r="Y24" s="106"/>
      <c r="Z24" s="105">
        <f>Z21+Z22+Z23</f>
        <v>146100</v>
      </c>
      <c r="AA24" s="106"/>
      <c r="AB24" s="105">
        <f>D24+F24+H24+J24+L24+N24</f>
        <v>871200</v>
      </c>
      <c r="AC24" s="108"/>
    </row>
    <row r="25" spans="1:29" ht="22.5" customHeight="1">
      <c r="A25" s="109" t="s">
        <v>33</v>
      </c>
      <c r="B25" s="113" t="s">
        <v>34</v>
      </c>
      <c r="C25" s="114"/>
      <c r="D25" s="115">
        <v>0</v>
      </c>
      <c r="E25" s="116"/>
      <c r="F25" s="115">
        <v>0</v>
      </c>
      <c r="G25" s="116"/>
      <c r="H25" s="115">
        <v>0</v>
      </c>
      <c r="I25" s="116"/>
      <c r="J25" s="115">
        <v>0</v>
      </c>
      <c r="K25" s="116"/>
      <c r="L25" s="115">
        <v>0</v>
      </c>
      <c r="M25" s="116"/>
      <c r="N25" s="115">
        <v>0</v>
      </c>
      <c r="O25" s="116"/>
      <c r="P25" s="115">
        <v>0</v>
      </c>
      <c r="Q25" s="116"/>
      <c r="R25" s="115">
        <v>0</v>
      </c>
      <c r="S25" s="116"/>
      <c r="T25" s="115">
        <v>0</v>
      </c>
      <c r="U25" s="116"/>
      <c r="V25" s="115">
        <v>0</v>
      </c>
      <c r="W25" s="116"/>
      <c r="X25" s="115">
        <v>0</v>
      </c>
      <c r="Y25" s="116"/>
      <c r="Z25" s="115">
        <v>0</v>
      </c>
      <c r="AA25" s="116"/>
      <c r="AB25" s="115"/>
      <c r="AC25" s="121"/>
    </row>
    <row r="26" spans="1:29" ht="22.5" customHeight="1">
      <c r="A26" s="110"/>
      <c r="B26" s="94" t="s">
        <v>35</v>
      </c>
      <c r="C26" s="95"/>
      <c r="D26" s="58">
        <v>3200</v>
      </c>
      <c r="E26" s="59"/>
      <c r="F26" s="58">
        <v>3200</v>
      </c>
      <c r="G26" s="59"/>
      <c r="H26" s="58">
        <v>3200</v>
      </c>
      <c r="I26" s="59"/>
      <c r="J26" s="58">
        <v>3000</v>
      </c>
      <c r="K26" s="59"/>
      <c r="L26" s="58">
        <v>3000</v>
      </c>
      <c r="M26" s="59"/>
      <c r="N26" s="58">
        <v>3000</v>
      </c>
      <c r="O26" s="59"/>
      <c r="P26" s="58">
        <v>3000</v>
      </c>
      <c r="Q26" s="59"/>
      <c r="R26" s="58">
        <v>3000</v>
      </c>
      <c r="S26" s="59"/>
      <c r="T26" s="58">
        <v>3000</v>
      </c>
      <c r="U26" s="59"/>
      <c r="V26" s="58">
        <v>3000</v>
      </c>
      <c r="W26" s="59"/>
      <c r="X26" s="58">
        <v>3000</v>
      </c>
      <c r="Y26" s="59"/>
      <c r="Z26" s="58">
        <v>3000</v>
      </c>
      <c r="AA26" s="59"/>
      <c r="AB26" s="58"/>
      <c r="AC26" s="79"/>
    </row>
    <row r="27" spans="1:29" ht="22.5" customHeight="1">
      <c r="A27" s="110"/>
      <c r="B27" s="94" t="s">
        <v>47</v>
      </c>
      <c r="C27" s="95"/>
      <c r="D27" s="58">
        <v>0</v>
      </c>
      <c r="E27" s="59"/>
      <c r="F27" s="58">
        <v>0</v>
      </c>
      <c r="G27" s="59"/>
      <c r="H27" s="58">
        <v>0</v>
      </c>
      <c r="I27" s="59"/>
      <c r="J27" s="58">
        <v>0</v>
      </c>
      <c r="K27" s="59"/>
      <c r="L27" s="58">
        <v>0</v>
      </c>
      <c r="M27" s="59"/>
      <c r="N27" s="58">
        <v>0</v>
      </c>
      <c r="O27" s="59"/>
      <c r="P27" s="58">
        <v>0</v>
      </c>
      <c r="Q27" s="59"/>
      <c r="R27" s="58">
        <v>0</v>
      </c>
      <c r="S27" s="59"/>
      <c r="T27" s="58">
        <v>0</v>
      </c>
      <c r="U27" s="59"/>
      <c r="V27" s="58">
        <v>0</v>
      </c>
      <c r="W27" s="59"/>
      <c r="X27" s="58">
        <v>0</v>
      </c>
      <c r="Y27" s="59"/>
      <c r="Z27" s="58">
        <v>0</v>
      </c>
      <c r="AA27" s="59"/>
      <c r="AB27" s="58"/>
      <c r="AC27" s="79"/>
    </row>
    <row r="28" spans="1:29" ht="22.5" customHeight="1">
      <c r="A28" s="111"/>
      <c r="B28" s="94" t="s">
        <v>48</v>
      </c>
      <c r="C28" s="95"/>
      <c r="D28" s="83">
        <v>0</v>
      </c>
      <c r="E28" s="84"/>
      <c r="F28" s="83">
        <v>0</v>
      </c>
      <c r="G28" s="84"/>
      <c r="H28" s="83">
        <v>0</v>
      </c>
      <c r="I28" s="84"/>
      <c r="J28" s="83">
        <v>0</v>
      </c>
      <c r="K28" s="84"/>
      <c r="L28" s="83">
        <v>0</v>
      </c>
      <c r="M28" s="84"/>
      <c r="N28" s="83">
        <v>0</v>
      </c>
      <c r="O28" s="84"/>
      <c r="P28" s="83">
        <v>0</v>
      </c>
      <c r="Q28" s="84"/>
      <c r="R28" s="83">
        <v>0</v>
      </c>
      <c r="S28" s="84"/>
      <c r="T28" s="83">
        <v>0</v>
      </c>
      <c r="U28" s="84"/>
      <c r="V28" s="83">
        <v>0</v>
      </c>
      <c r="W28" s="84"/>
      <c r="X28" s="83">
        <v>0</v>
      </c>
      <c r="Y28" s="84"/>
      <c r="Z28" s="83">
        <v>0</v>
      </c>
      <c r="AA28" s="84"/>
      <c r="AB28" s="83"/>
      <c r="AC28" s="97"/>
    </row>
    <row r="29" spans="1:29" ht="22.5" customHeight="1" thickBot="1">
      <c r="A29" s="112"/>
      <c r="B29" s="124" t="s">
        <v>51</v>
      </c>
      <c r="C29" s="125"/>
      <c r="D29" s="101">
        <v>0</v>
      </c>
      <c r="E29" s="102"/>
      <c r="F29" s="101">
        <v>0</v>
      </c>
      <c r="G29" s="102"/>
      <c r="H29" s="101">
        <v>0</v>
      </c>
      <c r="I29" s="102"/>
      <c r="J29" s="101">
        <v>0</v>
      </c>
      <c r="K29" s="102"/>
      <c r="L29" s="101">
        <v>0</v>
      </c>
      <c r="M29" s="102"/>
      <c r="N29" s="101">
        <v>0</v>
      </c>
      <c r="O29" s="102"/>
      <c r="P29" s="101">
        <v>0</v>
      </c>
      <c r="Q29" s="102"/>
      <c r="R29" s="101">
        <v>0</v>
      </c>
      <c r="S29" s="102"/>
      <c r="T29" s="101">
        <v>0</v>
      </c>
      <c r="U29" s="102"/>
      <c r="V29" s="101">
        <v>0</v>
      </c>
      <c r="W29" s="102"/>
      <c r="X29" s="101">
        <v>0</v>
      </c>
      <c r="Y29" s="102"/>
      <c r="Z29" s="101">
        <v>0</v>
      </c>
      <c r="AA29" s="102"/>
      <c r="AB29" s="101"/>
      <c r="AC29" s="123"/>
    </row>
    <row r="30" spans="1:29" ht="22.5" customHeight="1" thickBot="1">
      <c r="A30" s="71" t="s">
        <v>36</v>
      </c>
      <c r="B30" s="72"/>
      <c r="C30" s="73"/>
      <c r="D30" s="83">
        <f>SUM(D25:D29)</f>
        <v>3200</v>
      </c>
      <c r="E30" s="84"/>
      <c r="F30" s="83">
        <f t="shared" ref="F30" si="0">SUM(F25:F29)</f>
        <v>3200</v>
      </c>
      <c r="G30" s="84"/>
      <c r="H30" s="83">
        <f t="shared" ref="H30" si="1">SUM(H25:H29)</f>
        <v>3200</v>
      </c>
      <c r="I30" s="84"/>
      <c r="J30" s="83">
        <f t="shared" ref="J30" si="2">SUM(J25:J29)</f>
        <v>3000</v>
      </c>
      <c r="K30" s="84"/>
      <c r="L30" s="83">
        <f>SUM(L25:L29)</f>
        <v>3000</v>
      </c>
      <c r="M30" s="84"/>
      <c r="N30" s="83">
        <f t="shared" ref="N30" si="3">SUM(N25:N29)</f>
        <v>3000</v>
      </c>
      <c r="O30" s="84"/>
      <c r="P30" s="83">
        <f>SUM(P25:P29)</f>
        <v>3000</v>
      </c>
      <c r="Q30" s="84"/>
      <c r="R30" s="83">
        <f t="shared" ref="R30" si="4">SUM(R25:R29)</f>
        <v>3000</v>
      </c>
      <c r="S30" s="84"/>
      <c r="T30" s="83">
        <f t="shared" ref="T30" si="5">SUM(T25:T29)</f>
        <v>3000</v>
      </c>
      <c r="U30" s="84"/>
      <c r="V30" s="83">
        <f t="shared" ref="V30" si="6">SUM(V25:V29)</f>
        <v>3000</v>
      </c>
      <c r="W30" s="84"/>
      <c r="X30" s="83">
        <f t="shared" ref="X30" si="7">SUM(X25:X29)</f>
        <v>3000</v>
      </c>
      <c r="Y30" s="84"/>
      <c r="Z30" s="83">
        <f t="shared" ref="Z30" si="8">SUM(Z25:Z29)</f>
        <v>3000</v>
      </c>
      <c r="AA30" s="84"/>
      <c r="AB30" s="83">
        <f t="shared" ref="AB30" si="9">SUM(AB25:AB29)</f>
        <v>0</v>
      </c>
      <c r="AC30" s="97"/>
    </row>
    <row r="31" spans="1:29" ht="22.5" customHeight="1" thickTop="1" thickBot="1">
      <c r="A31" s="132" t="s">
        <v>37</v>
      </c>
      <c r="B31" s="133"/>
      <c r="C31" s="134"/>
      <c r="D31" s="126">
        <f>D24-D30</f>
        <v>138175</v>
      </c>
      <c r="E31" s="127"/>
      <c r="F31" s="126">
        <f>F24-F30</f>
        <v>142675</v>
      </c>
      <c r="G31" s="127"/>
      <c r="H31" s="126">
        <f>H24-H30</f>
        <v>142675</v>
      </c>
      <c r="I31" s="127"/>
      <c r="J31" s="126">
        <f>J24-J30</f>
        <v>142875</v>
      </c>
      <c r="K31" s="127"/>
      <c r="L31" s="126">
        <f>L24-L30</f>
        <v>143100</v>
      </c>
      <c r="M31" s="127"/>
      <c r="N31" s="126">
        <f>N24-N30</f>
        <v>143100</v>
      </c>
      <c r="O31" s="127"/>
      <c r="P31" s="126">
        <f>P24-P30</f>
        <v>143100</v>
      </c>
      <c r="Q31" s="127"/>
      <c r="R31" s="126">
        <f>R24-R30</f>
        <v>143100</v>
      </c>
      <c r="S31" s="127"/>
      <c r="T31" s="126">
        <f>T24-T30</f>
        <v>152600</v>
      </c>
      <c r="U31" s="127"/>
      <c r="V31" s="126">
        <f>V24-V30</f>
        <v>143100</v>
      </c>
      <c r="W31" s="127"/>
      <c r="X31" s="126">
        <f>X21-X30</f>
        <v>143100</v>
      </c>
      <c r="Y31" s="127"/>
      <c r="Z31" s="126">
        <f>Z24-Z30</f>
        <v>143100</v>
      </c>
      <c r="AA31" s="127"/>
      <c r="AB31" s="126">
        <f>D31+F31+H31+J31+L31+N31</f>
        <v>852600</v>
      </c>
      <c r="AC31" s="130"/>
    </row>
  </sheetData>
  <mergeCells count="322">
    <mergeCell ref="A9:C9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F22:G22"/>
    <mergeCell ref="H22:I22"/>
    <mergeCell ref="J22:K22"/>
    <mergeCell ref="L22:M22"/>
    <mergeCell ref="R21:S21"/>
    <mergeCell ref="T21:U21"/>
    <mergeCell ref="V21:W21"/>
    <mergeCell ref="X21:Y21"/>
    <mergeCell ref="Z21:AA21"/>
    <mergeCell ref="R23:S23"/>
    <mergeCell ref="T23:U23"/>
    <mergeCell ref="V23:W23"/>
    <mergeCell ref="X23:Y23"/>
    <mergeCell ref="Z23:AA23"/>
    <mergeCell ref="AB23:AC23"/>
    <mergeCell ref="Z22:AA22"/>
    <mergeCell ref="AB22:AC22"/>
    <mergeCell ref="A23:C23"/>
    <mergeCell ref="D23:E23"/>
    <mergeCell ref="F23:G23"/>
    <mergeCell ref="H23:I23"/>
    <mergeCell ref="J23:K23"/>
    <mergeCell ref="L23:M23"/>
    <mergeCell ref="N23:O23"/>
    <mergeCell ref="P23:Q23"/>
    <mergeCell ref="N22:O22"/>
    <mergeCell ref="P22:Q22"/>
    <mergeCell ref="R22:S22"/>
    <mergeCell ref="T22:U22"/>
    <mergeCell ref="V22:W22"/>
    <mergeCell ref="X22:Y22"/>
    <mergeCell ref="A22:C22"/>
    <mergeCell ref="D22:E22"/>
    <mergeCell ref="Z24:AA24"/>
    <mergeCell ref="AB24:AC24"/>
    <mergeCell ref="A25:A29"/>
    <mergeCell ref="B25:C25"/>
    <mergeCell ref="D25:E25"/>
    <mergeCell ref="F25:G25"/>
    <mergeCell ref="H25:I25"/>
    <mergeCell ref="J25:K25"/>
    <mergeCell ref="L25:M25"/>
    <mergeCell ref="N25:O25"/>
    <mergeCell ref="N24:O24"/>
    <mergeCell ref="P24:Q24"/>
    <mergeCell ref="R24:S24"/>
    <mergeCell ref="T24:U24"/>
    <mergeCell ref="V24:W24"/>
    <mergeCell ref="X24:Y24"/>
    <mergeCell ref="A24:C24"/>
    <mergeCell ref="D24:E24"/>
    <mergeCell ref="F24:G24"/>
    <mergeCell ref="H24:I24"/>
    <mergeCell ref="J24:K24"/>
    <mergeCell ref="L24:M24"/>
    <mergeCell ref="AB25:AC25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P25:Q25"/>
    <mergeCell ref="R25:S25"/>
    <mergeCell ref="T25:U25"/>
    <mergeCell ref="V25:W25"/>
    <mergeCell ref="X25:Y25"/>
    <mergeCell ref="Z25:AA25"/>
    <mergeCell ref="T26:U26"/>
    <mergeCell ref="V26:W26"/>
    <mergeCell ref="X26:Y26"/>
    <mergeCell ref="Z26:AA26"/>
    <mergeCell ref="AB26:AC26"/>
    <mergeCell ref="B27:C27"/>
    <mergeCell ref="D27:E27"/>
    <mergeCell ref="F27:G27"/>
    <mergeCell ref="H27:I27"/>
    <mergeCell ref="J27:K27"/>
    <mergeCell ref="X27:Y27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L27:M27"/>
    <mergeCell ref="N27:O27"/>
    <mergeCell ref="P27:Q27"/>
    <mergeCell ref="R27:S27"/>
    <mergeCell ref="T27:U27"/>
    <mergeCell ref="V27:W27"/>
    <mergeCell ref="AB28:AC28"/>
    <mergeCell ref="P28:Q28"/>
    <mergeCell ref="R28:S28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T28:U28"/>
    <mergeCell ref="V28:W28"/>
    <mergeCell ref="X28:Y28"/>
    <mergeCell ref="Z28:AA28"/>
    <mergeCell ref="T29:U29"/>
    <mergeCell ref="V29:W29"/>
    <mergeCell ref="X29:Y29"/>
    <mergeCell ref="Z29:AA29"/>
    <mergeCell ref="AB29:AC29"/>
    <mergeCell ref="A30:C30"/>
    <mergeCell ref="D30:E30"/>
    <mergeCell ref="F30:G30"/>
    <mergeCell ref="H30:I30"/>
    <mergeCell ref="J30:K30"/>
    <mergeCell ref="A31:C31"/>
    <mergeCell ref="D31:E31"/>
    <mergeCell ref="F31:G31"/>
    <mergeCell ref="H31:I31"/>
    <mergeCell ref="J31:K31"/>
    <mergeCell ref="L31:M31"/>
    <mergeCell ref="N31:O31"/>
    <mergeCell ref="L30:M30"/>
    <mergeCell ref="N30:O30"/>
    <mergeCell ref="AB31:AC31"/>
    <mergeCell ref="P31:Q31"/>
    <mergeCell ref="R31:S31"/>
    <mergeCell ref="T31:U31"/>
    <mergeCell ref="V31:W31"/>
    <mergeCell ref="X31:Y31"/>
    <mergeCell ref="Z31:AA31"/>
    <mergeCell ref="X30:Y30"/>
    <mergeCell ref="Z30:AA30"/>
    <mergeCell ref="AB30:AC30"/>
    <mergeCell ref="P30:Q30"/>
    <mergeCell ref="R30:S30"/>
    <mergeCell ref="T30:U30"/>
    <mergeCell ref="V30:W30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1FCBF-DD49-42DC-8783-EBB8D64E9999}">
  <sheetPr>
    <tabColor theme="5"/>
  </sheetPr>
  <dimension ref="A1:AC31"/>
  <sheetViews>
    <sheetView topLeftCell="A11" workbookViewId="0">
      <selection activeCell="B34" sqref="B34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2.5" customHeight="1">
      <c r="A1" s="37" t="s">
        <v>129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22.5" customHeight="1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22.5" customHeight="1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22.5" customHeight="1" thickBot="1">
      <c r="A4" s="45"/>
      <c r="B4" s="46"/>
      <c r="C4" s="47"/>
      <c r="D4" s="48"/>
      <c r="E4" s="49" t="s">
        <v>5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178" t="s">
        <v>83</v>
      </c>
      <c r="T4" s="179"/>
      <c r="U4" s="179"/>
      <c r="V4" s="179"/>
      <c r="W4" s="179"/>
      <c r="X4" s="179"/>
      <c r="Y4" s="180"/>
      <c r="Z4" s="56" t="s">
        <v>6</v>
      </c>
      <c r="AA4" s="56"/>
      <c r="AB4" s="56"/>
      <c r="AC4" s="57"/>
    </row>
    <row r="5" spans="1:29" ht="22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2.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1"/>
      <c r="AB6" s="60" t="s">
        <v>20</v>
      </c>
      <c r="AC6" s="64"/>
    </row>
    <row r="7" spans="1:29" ht="22.5" customHeight="1">
      <c r="A7" s="65" t="s">
        <v>40</v>
      </c>
      <c r="B7" s="66"/>
      <c r="C7" s="67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5"/>
      <c r="AC7" s="9" t="s">
        <v>21</v>
      </c>
    </row>
    <row r="8" spans="1:29" ht="22.5" customHeight="1">
      <c r="A8" s="65" t="s">
        <v>41</v>
      </c>
      <c r="B8" s="66"/>
      <c r="C8" s="67"/>
      <c r="D8" s="3">
        <v>15</v>
      </c>
      <c r="E8" s="4" t="s">
        <v>21</v>
      </c>
      <c r="F8" s="3">
        <v>16</v>
      </c>
      <c r="G8" s="4" t="s">
        <v>21</v>
      </c>
      <c r="H8" s="3">
        <v>15</v>
      </c>
      <c r="I8" s="4" t="s">
        <v>21</v>
      </c>
      <c r="J8" s="3">
        <v>16</v>
      </c>
      <c r="K8" s="4" t="s">
        <v>21</v>
      </c>
      <c r="L8" s="3">
        <v>16</v>
      </c>
      <c r="M8" s="4" t="s">
        <v>21</v>
      </c>
      <c r="N8" s="3">
        <v>15</v>
      </c>
      <c r="O8" s="4" t="s">
        <v>21</v>
      </c>
      <c r="P8" s="3">
        <v>16</v>
      </c>
      <c r="Q8" s="4" t="s">
        <v>21</v>
      </c>
      <c r="R8" s="3">
        <v>15</v>
      </c>
      <c r="S8" s="4" t="s">
        <v>21</v>
      </c>
      <c r="T8" s="3">
        <v>15</v>
      </c>
      <c r="U8" s="4" t="s">
        <v>21</v>
      </c>
      <c r="V8" s="3">
        <v>16</v>
      </c>
      <c r="W8" s="4" t="s">
        <v>21</v>
      </c>
      <c r="X8" s="3">
        <v>14</v>
      </c>
      <c r="Y8" s="4" t="s">
        <v>21</v>
      </c>
      <c r="Z8" s="3">
        <v>16</v>
      </c>
      <c r="AA8" s="4" t="s">
        <v>21</v>
      </c>
      <c r="AB8" s="5"/>
      <c r="AC8" s="9" t="s">
        <v>22</v>
      </c>
    </row>
    <row r="9" spans="1:29" ht="22.5" customHeight="1">
      <c r="A9" s="65" t="s">
        <v>24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2.5" customHeight="1" thickBot="1">
      <c r="A10" s="80" t="s">
        <v>25</v>
      </c>
      <c r="B10" s="81"/>
      <c r="C10" s="8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2.5" customHeight="1" thickTop="1">
      <c r="A11" s="71" t="s">
        <v>26</v>
      </c>
      <c r="B11" s="72"/>
      <c r="C11" s="73"/>
      <c r="D11" s="74"/>
      <c r="E11" s="75"/>
      <c r="F11" s="74"/>
      <c r="G11" s="75"/>
      <c r="H11" s="74"/>
      <c r="I11" s="75"/>
      <c r="J11" s="74"/>
      <c r="K11" s="75"/>
      <c r="L11" s="74"/>
      <c r="M11" s="75"/>
      <c r="N11" s="74"/>
      <c r="O11" s="75"/>
      <c r="P11" s="74"/>
      <c r="Q11" s="75"/>
      <c r="R11" s="74"/>
      <c r="S11" s="75"/>
      <c r="T11" s="74"/>
      <c r="U11" s="75"/>
      <c r="V11" s="74"/>
      <c r="W11" s="75"/>
      <c r="X11" s="74"/>
      <c r="Y11" s="75"/>
      <c r="Z11" s="74"/>
      <c r="AA11" s="75"/>
      <c r="AB11" s="74"/>
      <c r="AC11" s="77"/>
    </row>
    <row r="12" spans="1:29" ht="22.5" customHeight="1">
      <c r="A12" s="65" t="s">
        <v>49</v>
      </c>
      <c r="B12" s="66"/>
      <c r="C12" s="67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58"/>
      <c r="AC12" s="79"/>
    </row>
    <row r="13" spans="1:29" ht="22.5" customHeight="1">
      <c r="A13" s="89" t="s">
        <v>27</v>
      </c>
      <c r="B13" s="90"/>
      <c r="C13" s="66"/>
      <c r="D13" s="58">
        <v>9000</v>
      </c>
      <c r="E13" s="59"/>
      <c r="F13" s="58">
        <v>9200</v>
      </c>
      <c r="G13" s="59"/>
      <c r="H13" s="58">
        <v>9200</v>
      </c>
      <c r="I13" s="59"/>
      <c r="J13" s="58">
        <v>9200</v>
      </c>
      <c r="K13" s="59"/>
      <c r="L13" s="58">
        <v>9200</v>
      </c>
      <c r="M13" s="59"/>
      <c r="N13" s="58">
        <v>9200</v>
      </c>
      <c r="O13" s="59"/>
      <c r="P13" s="58">
        <v>9200</v>
      </c>
      <c r="Q13" s="59"/>
      <c r="R13" s="58">
        <v>9200</v>
      </c>
      <c r="S13" s="59"/>
      <c r="T13" s="58">
        <v>9200</v>
      </c>
      <c r="U13" s="59"/>
      <c r="V13" s="58">
        <v>9200</v>
      </c>
      <c r="W13" s="59"/>
      <c r="X13" s="58">
        <v>9200</v>
      </c>
      <c r="Y13" s="59"/>
      <c r="Z13" s="58">
        <v>9200</v>
      </c>
      <c r="AA13" s="59"/>
      <c r="AB13" s="58"/>
      <c r="AC13" s="79"/>
    </row>
    <row r="14" spans="1:29" ht="22.5" customHeight="1" thickBot="1">
      <c r="A14" s="80" t="s">
        <v>50</v>
      </c>
      <c r="B14" s="81"/>
      <c r="C14" s="82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85"/>
      <c r="AC14" s="88"/>
    </row>
    <row r="15" spans="1:29" ht="22.5" customHeight="1" thickTop="1">
      <c r="A15" s="92" t="s">
        <v>42</v>
      </c>
      <c r="B15" s="17"/>
      <c r="C15" s="6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74"/>
      <c r="AC15" s="77"/>
    </row>
    <row r="16" spans="1:29" ht="22.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58"/>
      <c r="AC16" s="79"/>
    </row>
    <row r="17" spans="1:29" ht="22.5" customHeight="1">
      <c r="A17" s="92"/>
      <c r="B17" s="16"/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58"/>
      <c r="AC17" s="79"/>
    </row>
    <row r="18" spans="1:29" ht="22.5" customHeight="1">
      <c r="A18" s="92"/>
      <c r="B18" s="94" t="s">
        <v>28</v>
      </c>
      <c r="C18" s="95"/>
      <c r="D18" s="58">
        <v>5175</v>
      </c>
      <c r="E18" s="59"/>
      <c r="F18" s="58">
        <v>5520</v>
      </c>
      <c r="G18" s="59"/>
      <c r="H18" s="58">
        <v>5175</v>
      </c>
      <c r="I18" s="59"/>
      <c r="J18" s="58">
        <v>5520</v>
      </c>
      <c r="K18" s="59"/>
      <c r="L18" s="58">
        <v>5888</v>
      </c>
      <c r="M18" s="59"/>
      <c r="N18" s="58">
        <v>5520</v>
      </c>
      <c r="O18" s="59"/>
      <c r="P18" s="58">
        <v>5888</v>
      </c>
      <c r="Q18" s="59"/>
      <c r="R18" s="58">
        <v>5520</v>
      </c>
      <c r="S18" s="59"/>
      <c r="T18" s="58">
        <v>5520</v>
      </c>
      <c r="U18" s="59"/>
      <c r="V18" s="58">
        <v>5888</v>
      </c>
      <c r="W18" s="59"/>
      <c r="X18" s="58">
        <v>5152</v>
      </c>
      <c r="Y18" s="59"/>
      <c r="Z18" s="58">
        <v>5888</v>
      </c>
      <c r="AA18" s="59"/>
      <c r="AB18" s="58"/>
      <c r="AC18" s="79"/>
    </row>
    <row r="19" spans="1:29" ht="22.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58"/>
      <c r="AC19" s="79"/>
    </row>
    <row r="20" spans="1:29" ht="22.5" customHeight="1">
      <c r="A20" s="110"/>
      <c r="B20" s="94" t="s">
        <v>30</v>
      </c>
      <c r="C20" s="95"/>
      <c r="D20" s="58"/>
      <c r="E20" s="59"/>
      <c r="F20" s="58"/>
      <c r="G20" s="59"/>
      <c r="H20" s="58"/>
      <c r="I20" s="59"/>
      <c r="J20" s="58"/>
      <c r="K20" s="59"/>
      <c r="L20" s="58"/>
      <c r="M20" s="59"/>
      <c r="N20" s="58"/>
      <c r="O20" s="59"/>
      <c r="P20" s="58"/>
      <c r="Q20" s="59"/>
      <c r="R20" s="58"/>
      <c r="S20" s="59"/>
      <c r="T20" s="58"/>
      <c r="U20" s="59"/>
      <c r="V20" s="58"/>
      <c r="W20" s="59"/>
      <c r="X20" s="58"/>
      <c r="Y20" s="59"/>
      <c r="Z20" s="58"/>
      <c r="AA20" s="59"/>
      <c r="AB20" s="58"/>
      <c r="AC20" s="79"/>
    </row>
    <row r="21" spans="1:29" ht="22.5" customHeight="1">
      <c r="A21" s="65" t="s">
        <v>31</v>
      </c>
      <c r="B21" s="66"/>
      <c r="C21" s="67"/>
      <c r="D21" s="58">
        <f>INT(D7*D11+D8*D13+D9*D12+D10*D14+D15+D16+D17+D18+D19+D20)</f>
        <v>140175</v>
      </c>
      <c r="E21" s="59"/>
      <c r="F21" s="58">
        <f>INT(F7*F11+F8*F13+F9*F12+F10*F14+F15+F16+F17+F18+F19+F20)</f>
        <v>152720</v>
      </c>
      <c r="G21" s="59"/>
      <c r="H21" s="58">
        <f>INT(H7*H11+H8*H13+H9*H12+H10*H14+H15+H16+H17+H18+H19+H20)</f>
        <v>143175</v>
      </c>
      <c r="I21" s="59"/>
      <c r="J21" s="58">
        <f>INT(J7*J11+J8*J13+J9*J12+J10*J14+J15+J16+J17+J18+J19+J20)</f>
        <v>152720</v>
      </c>
      <c r="K21" s="59"/>
      <c r="L21" s="58">
        <f>INT(L7*L11+L8*L13+L9*L12+L10*L14+L15+L16+L17+L18+L19+L20)</f>
        <v>153088</v>
      </c>
      <c r="M21" s="59"/>
      <c r="N21" s="58">
        <f>INT(N7*N11+N8*N13+N9*N12+N10*N14+N15+N16+N17+N18+N19+N20)</f>
        <v>143520</v>
      </c>
      <c r="O21" s="59"/>
      <c r="P21" s="58">
        <f>INT(P7*P11+P8*P13+P9*P12+P10*P14+P15+P16+P17+P18+P19+P20)</f>
        <v>153088</v>
      </c>
      <c r="Q21" s="59"/>
      <c r="R21" s="58">
        <f>INT(R7*R11+R8*R13+R9*R12+R10*R14+R15+R16+R17+R18+R19+R20)</f>
        <v>143520</v>
      </c>
      <c r="S21" s="59"/>
      <c r="T21" s="58">
        <f>INT(T7*T11+T8*T13+T9*T12+T10*T14+T15+T16+T17+T18+T19+T20)</f>
        <v>143520</v>
      </c>
      <c r="U21" s="59"/>
      <c r="V21" s="58">
        <f>INT(V7*V11+V8*V13+V9*V12+V10*V14+V15+V16+V17+V18+V19+V20)</f>
        <v>153088</v>
      </c>
      <c r="W21" s="59"/>
      <c r="X21" s="58">
        <f>INT(X7*X11+X8*X13+X9*X12+X10*X14+X15+X16+X17+X18+X19+X20)</f>
        <v>133952</v>
      </c>
      <c r="Y21" s="59"/>
      <c r="Z21" s="58">
        <f>INT(Z7*Z11+Z8*Z13+Z9*Z12+Z10*Z14+Z15+Z16+Z17+Z18+Z19+Z20)</f>
        <v>153088</v>
      </c>
      <c r="AA21" s="59"/>
      <c r="AB21" s="58">
        <f>D21+F21+H21+J21+L21+N21</f>
        <v>885398</v>
      </c>
      <c r="AC21" s="79"/>
    </row>
    <row r="22" spans="1:29" ht="22.5" customHeight="1">
      <c r="A22" s="65" t="s">
        <v>32</v>
      </c>
      <c r="B22" s="66"/>
      <c r="C22" s="67"/>
      <c r="D22" s="58"/>
      <c r="E22" s="59"/>
      <c r="F22" s="58"/>
      <c r="G22" s="59"/>
      <c r="H22" s="58"/>
      <c r="I22" s="59"/>
      <c r="J22" s="58"/>
      <c r="K22" s="59"/>
      <c r="L22" s="58"/>
      <c r="M22" s="59"/>
      <c r="N22" s="58"/>
      <c r="O22" s="59"/>
      <c r="P22" s="58"/>
      <c r="Q22" s="59"/>
      <c r="R22" s="58"/>
      <c r="S22" s="59"/>
      <c r="T22" s="58"/>
      <c r="U22" s="59"/>
      <c r="V22" s="58"/>
      <c r="W22" s="59"/>
      <c r="X22" s="58"/>
      <c r="Y22" s="59"/>
      <c r="Z22" s="58"/>
      <c r="AA22" s="59"/>
      <c r="AB22" s="58"/>
      <c r="AC22" s="79"/>
    </row>
    <row r="23" spans="1:29" ht="22.5" customHeight="1" thickBot="1">
      <c r="A23" s="98" t="s">
        <v>39</v>
      </c>
      <c r="B23" s="99"/>
      <c r="C23" s="100"/>
      <c r="D23" s="143"/>
      <c r="E23" s="144"/>
      <c r="F23" s="143"/>
      <c r="G23" s="144"/>
      <c r="H23" s="143"/>
      <c r="I23" s="144"/>
      <c r="J23" s="143"/>
      <c r="K23" s="144"/>
      <c r="L23" s="143"/>
      <c r="M23" s="144"/>
      <c r="N23" s="143"/>
      <c r="O23" s="144"/>
      <c r="P23" s="143"/>
      <c r="Q23" s="144"/>
      <c r="R23" s="143"/>
      <c r="S23" s="144"/>
      <c r="T23" s="143"/>
      <c r="U23" s="144"/>
      <c r="V23" s="143"/>
      <c r="W23" s="144"/>
      <c r="X23" s="143"/>
      <c r="Y23" s="144"/>
      <c r="Z23" s="143"/>
      <c r="AA23" s="144"/>
      <c r="AB23" s="143"/>
      <c r="AC23" s="104"/>
    </row>
    <row r="24" spans="1:29" ht="22.5" customHeight="1" thickBot="1">
      <c r="A24" s="117" t="s">
        <v>20</v>
      </c>
      <c r="B24" s="118"/>
      <c r="C24" s="119"/>
      <c r="D24" s="105">
        <f>D21+D22+D23</f>
        <v>140175</v>
      </c>
      <c r="E24" s="106"/>
      <c r="F24" s="105">
        <f>F21+F22+F23</f>
        <v>152720</v>
      </c>
      <c r="G24" s="106"/>
      <c r="H24" s="105">
        <f>H21+H22+H23</f>
        <v>143175</v>
      </c>
      <c r="I24" s="106"/>
      <c r="J24" s="105">
        <f>J21+J22+J23</f>
        <v>152720</v>
      </c>
      <c r="K24" s="106"/>
      <c r="L24" s="105">
        <f>L21+L22+L23</f>
        <v>153088</v>
      </c>
      <c r="M24" s="106"/>
      <c r="N24" s="105">
        <f>N21+N22+N23</f>
        <v>143520</v>
      </c>
      <c r="O24" s="106"/>
      <c r="P24" s="105">
        <f>P21+P22+P23</f>
        <v>153088</v>
      </c>
      <c r="Q24" s="106"/>
      <c r="R24" s="105">
        <f>R21+R22+R23</f>
        <v>143520</v>
      </c>
      <c r="S24" s="106"/>
      <c r="T24" s="105">
        <f>T21+T22+T23</f>
        <v>143520</v>
      </c>
      <c r="U24" s="106"/>
      <c r="V24" s="105">
        <f>V21+V22+V23</f>
        <v>153088</v>
      </c>
      <c r="W24" s="106"/>
      <c r="X24" s="105">
        <f>X21+X22+X23</f>
        <v>133952</v>
      </c>
      <c r="Y24" s="106"/>
      <c r="Z24" s="105">
        <f>Z21+Z22+Z23</f>
        <v>153088</v>
      </c>
      <c r="AA24" s="106"/>
      <c r="AB24" s="105">
        <f>D24+F24+H24+J24+L24+N24</f>
        <v>885398</v>
      </c>
      <c r="AC24" s="108"/>
    </row>
    <row r="25" spans="1:29" ht="22.5" customHeight="1">
      <c r="A25" s="109" t="s">
        <v>33</v>
      </c>
      <c r="B25" s="113" t="s">
        <v>34</v>
      </c>
      <c r="C25" s="114"/>
      <c r="D25" s="115">
        <v>421</v>
      </c>
      <c r="E25" s="116"/>
      <c r="F25" s="115">
        <v>458</v>
      </c>
      <c r="G25" s="116"/>
      <c r="H25" s="115">
        <v>430</v>
      </c>
      <c r="I25" s="116"/>
      <c r="J25" s="115">
        <v>458</v>
      </c>
      <c r="K25" s="116"/>
      <c r="L25" s="115">
        <v>459</v>
      </c>
      <c r="M25" s="116"/>
      <c r="N25" s="115">
        <v>431</v>
      </c>
      <c r="O25" s="116"/>
      <c r="P25" s="115">
        <v>459</v>
      </c>
      <c r="Q25" s="116"/>
      <c r="R25" s="115">
        <v>431</v>
      </c>
      <c r="S25" s="116"/>
      <c r="T25" s="115">
        <v>431</v>
      </c>
      <c r="U25" s="116"/>
      <c r="V25" s="115">
        <v>459</v>
      </c>
      <c r="W25" s="116"/>
      <c r="X25" s="115">
        <v>402</v>
      </c>
      <c r="Y25" s="116"/>
      <c r="Z25" s="115">
        <v>459</v>
      </c>
      <c r="AA25" s="116"/>
      <c r="AB25" s="115"/>
      <c r="AC25" s="121"/>
    </row>
    <row r="26" spans="1:29" ht="22.5" customHeight="1">
      <c r="A26" s="110"/>
      <c r="B26" s="94" t="s">
        <v>35</v>
      </c>
      <c r="C26" s="95"/>
      <c r="D26" s="58">
        <v>3000</v>
      </c>
      <c r="E26" s="59"/>
      <c r="F26" s="58">
        <v>3450</v>
      </c>
      <c r="G26" s="59"/>
      <c r="H26" s="58">
        <v>3000</v>
      </c>
      <c r="I26" s="59"/>
      <c r="J26" s="58">
        <v>3200</v>
      </c>
      <c r="K26" s="59"/>
      <c r="L26" s="58">
        <v>3200</v>
      </c>
      <c r="M26" s="59"/>
      <c r="N26" s="58">
        <v>2920</v>
      </c>
      <c r="O26" s="59"/>
      <c r="P26" s="58">
        <v>3100</v>
      </c>
      <c r="Q26" s="59"/>
      <c r="R26" s="58">
        <v>2920</v>
      </c>
      <c r="S26" s="59"/>
      <c r="T26" s="58">
        <v>2920</v>
      </c>
      <c r="U26" s="59"/>
      <c r="V26" s="58">
        <v>3100</v>
      </c>
      <c r="W26" s="59"/>
      <c r="X26" s="58">
        <v>3100</v>
      </c>
      <c r="Y26" s="59"/>
      <c r="Z26" s="58">
        <v>3200</v>
      </c>
      <c r="AA26" s="59"/>
      <c r="AB26" s="58"/>
      <c r="AC26" s="79"/>
    </row>
    <row r="27" spans="1:29" ht="22.5" customHeight="1">
      <c r="A27" s="110"/>
      <c r="B27" s="94" t="s">
        <v>47</v>
      </c>
      <c r="C27" s="95"/>
      <c r="D27" s="58">
        <v>0</v>
      </c>
      <c r="E27" s="59"/>
      <c r="F27" s="58">
        <v>0</v>
      </c>
      <c r="G27" s="59"/>
      <c r="H27" s="58">
        <v>0</v>
      </c>
      <c r="I27" s="59"/>
      <c r="J27" s="58">
        <v>0</v>
      </c>
      <c r="K27" s="59"/>
      <c r="L27" s="58">
        <v>0</v>
      </c>
      <c r="M27" s="59"/>
      <c r="N27" s="58">
        <v>0</v>
      </c>
      <c r="O27" s="59"/>
      <c r="P27" s="58">
        <v>0</v>
      </c>
      <c r="Q27" s="59"/>
      <c r="R27" s="58">
        <v>0</v>
      </c>
      <c r="S27" s="59"/>
      <c r="T27" s="58">
        <v>0</v>
      </c>
      <c r="U27" s="59"/>
      <c r="V27" s="58">
        <v>0</v>
      </c>
      <c r="W27" s="59"/>
      <c r="X27" s="58">
        <v>0</v>
      </c>
      <c r="Y27" s="59"/>
      <c r="Z27" s="58">
        <v>0</v>
      </c>
      <c r="AA27" s="59"/>
      <c r="AB27" s="58"/>
      <c r="AC27" s="79"/>
    </row>
    <row r="28" spans="1:29" ht="22.5" customHeight="1">
      <c r="A28" s="111"/>
      <c r="B28" s="94" t="s">
        <v>48</v>
      </c>
      <c r="C28" s="95"/>
      <c r="D28" s="83">
        <v>0</v>
      </c>
      <c r="E28" s="84"/>
      <c r="F28" s="83">
        <v>0</v>
      </c>
      <c r="G28" s="84"/>
      <c r="H28" s="83">
        <v>0</v>
      </c>
      <c r="I28" s="84"/>
      <c r="J28" s="83">
        <v>0</v>
      </c>
      <c r="K28" s="84"/>
      <c r="L28" s="83">
        <v>0</v>
      </c>
      <c r="M28" s="84"/>
      <c r="N28" s="83">
        <v>0</v>
      </c>
      <c r="O28" s="84"/>
      <c r="P28" s="83">
        <v>0</v>
      </c>
      <c r="Q28" s="84"/>
      <c r="R28" s="83">
        <v>0</v>
      </c>
      <c r="S28" s="84"/>
      <c r="T28" s="83">
        <v>0</v>
      </c>
      <c r="U28" s="84"/>
      <c r="V28" s="83">
        <v>0</v>
      </c>
      <c r="W28" s="84"/>
      <c r="X28" s="83">
        <v>0</v>
      </c>
      <c r="Y28" s="84"/>
      <c r="Z28" s="83">
        <v>0</v>
      </c>
      <c r="AA28" s="84"/>
      <c r="AB28" s="83"/>
      <c r="AC28" s="97"/>
    </row>
    <row r="29" spans="1:29" ht="22.5" customHeight="1" thickBot="1">
      <c r="A29" s="112"/>
      <c r="B29" s="124" t="s">
        <v>51</v>
      </c>
      <c r="C29" s="125"/>
      <c r="D29" s="101">
        <v>0</v>
      </c>
      <c r="E29" s="102"/>
      <c r="F29" s="101">
        <v>0</v>
      </c>
      <c r="G29" s="102"/>
      <c r="H29" s="101">
        <v>0</v>
      </c>
      <c r="I29" s="102"/>
      <c r="J29" s="101">
        <v>0</v>
      </c>
      <c r="K29" s="102"/>
      <c r="L29" s="101">
        <v>0</v>
      </c>
      <c r="M29" s="102"/>
      <c r="N29" s="101">
        <v>0</v>
      </c>
      <c r="O29" s="102"/>
      <c r="P29" s="101">
        <v>0</v>
      </c>
      <c r="Q29" s="102"/>
      <c r="R29" s="101">
        <v>0</v>
      </c>
      <c r="S29" s="102"/>
      <c r="T29" s="101">
        <v>0</v>
      </c>
      <c r="U29" s="102"/>
      <c r="V29" s="101">
        <v>0</v>
      </c>
      <c r="W29" s="102"/>
      <c r="X29" s="101">
        <v>0</v>
      </c>
      <c r="Y29" s="102"/>
      <c r="Z29" s="101">
        <v>0</v>
      </c>
      <c r="AA29" s="102"/>
      <c r="AB29" s="101"/>
      <c r="AC29" s="123"/>
    </row>
    <row r="30" spans="1:29" ht="22.5" customHeight="1" thickBot="1">
      <c r="A30" s="71" t="s">
        <v>36</v>
      </c>
      <c r="B30" s="72"/>
      <c r="C30" s="73"/>
      <c r="D30" s="83">
        <f>SUM(D25:D29)</f>
        <v>3421</v>
      </c>
      <c r="E30" s="84"/>
      <c r="F30" s="83">
        <f t="shared" ref="F30" si="0">SUM(F25:F29)</f>
        <v>3908</v>
      </c>
      <c r="G30" s="84"/>
      <c r="H30" s="83">
        <f t="shared" ref="H30" si="1">SUM(H25:H29)</f>
        <v>3430</v>
      </c>
      <c r="I30" s="84"/>
      <c r="J30" s="83">
        <f t="shared" ref="J30" si="2">SUM(J25:J29)</f>
        <v>3658</v>
      </c>
      <c r="K30" s="84"/>
      <c r="L30" s="83">
        <f t="shared" ref="L30" si="3">SUM(L25:L29)</f>
        <v>3659</v>
      </c>
      <c r="M30" s="84"/>
      <c r="N30" s="83">
        <f t="shared" ref="N30" si="4">SUM(N25:N29)</f>
        <v>3351</v>
      </c>
      <c r="O30" s="84"/>
      <c r="P30" s="83">
        <f t="shared" ref="P30" si="5">SUM(P25:P29)</f>
        <v>3559</v>
      </c>
      <c r="Q30" s="84"/>
      <c r="R30" s="83">
        <f t="shared" ref="R30" si="6">SUM(R25:R29)</f>
        <v>3351</v>
      </c>
      <c r="S30" s="84"/>
      <c r="T30" s="83">
        <f t="shared" ref="T30" si="7">SUM(T25:T29)</f>
        <v>3351</v>
      </c>
      <c r="U30" s="84"/>
      <c r="V30" s="83">
        <f t="shared" ref="V30" si="8">SUM(V25:V29)</f>
        <v>3559</v>
      </c>
      <c r="W30" s="84"/>
      <c r="X30" s="83">
        <f t="shared" ref="X30" si="9">SUM(X25:X29)</f>
        <v>3502</v>
      </c>
      <c r="Y30" s="84"/>
      <c r="Z30" s="83">
        <f>SUM(Z25:Z29)</f>
        <v>3659</v>
      </c>
      <c r="AA30" s="84"/>
      <c r="AB30" s="83">
        <f t="shared" ref="AB30" si="10">SUM(AB25:AB29)</f>
        <v>0</v>
      </c>
      <c r="AC30" s="97"/>
    </row>
    <row r="31" spans="1:29" ht="22.5" customHeight="1" thickTop="1" thickBot="1">
      <c r="A31" s="132" t="s">
        <v>37</v>
      </c>
      <c r="B31" s="133"/>
      <c r="C31" s="134"/>
      <c r="D31" s="126">
        <f>D24-D30</f>
        <v>136754</v>
      </c>
      <c r="E31" s="127"/>
      <c r="F31" s="126">
        <f>F24-F30</f>
        <v>148812</v>
      </c>
      <c r="G31" s="127"/>
      <c r="H31" s="126">
        <f>H24-H30</f>
        <v>139745</v>
      </c>
      <c r="I31" s="127"/>
      <c r="J31" s="126">
        <f>J24-J30</f>
        <v>149062</v>
      </c>
      <c r="K31" s="127"/>
      <c r="L31" s="126">
        <f>L24-L30</f>
        <v>149429</v>
      </c>
      <c r="M31" s="127"/>
      <c r="N31" s="126">
        <f>N24-N30</f>
        <v>140169</v>
      </c>
      <c r="O31" s="127"/>
      <c r="P31" s="126">
        <f>P24-P30</f>
        <v>149529</v>
      </c>
      <c r="Q31" s="127"/>
      <c r="R31" s="126">
        <f>R24-R30</f>
        <v>140169</v>
      </c>
      <c r="S31" s="127"/>
      <c r="T31" s="126">
        <f>T24-T30</f>
        <v>140169</v>
      </c>
      <c r="U31" s="127"/>
      <c r="V31" s="126">
        <f>V24-V30</f>
        <v>149529</v>
      </c>
      <c r="W31" s="127"/>
      <c r="X31" s="126">
        <f>X21-X30</f>
        <v>130450</v>
      </c>
      <c r="Y31" s="127"/>
      <c r="Z31" s="126">
        <f>Z24-Z30</f>
        <v>149429</v>
      </c>
      <c r="AA31" s="127"/>
      <c r="AB31" s="126">
        <f>D31+F31+H31+J31+L31+N31</f>
        <v>863971</v>
      </c>
      <c r="AC31" s="130"/>
    </row>
  </sheetData>
  <mergeCells count="322">
    <mergeCell ref="A9:C9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F22:G22"/>
    <mergeCell ref="H22:I22"/>
    <mergeCell ref="J22:K22"/>
    <mergeCell ref="L22:M22"/>
    <mergeCell ref="R21:S21"/>
    <mergeCell ref="T21:U21"/>
    <mergeCell ref="V21:W21"/>
    <mergeCell ref="X21:Y21"/>
    <mergeCell ref="Z21:AA21"/>
    <mergeCell ref="R23:S23"/>
    <mergeCell ref="T23:U23"/>
    <mergeCell ref="V23:W23"/>
    <mergeCell ref="X23:Y23"/>
    <mergeCell ref="Z23:AA23"/>
    <mergeCell ref="AB23:AC23"/>
    <mergeCell ref="Z22:AA22"/>
    <mergeCell ref="AB22:AC22"/>
    <mergeCell ref="A23:C23"/>
    <mergeCell ref="D23:E23"/>
    <mergeCell ref="F23:G23"/>
    <mergeCell ref="H23:I23"/>
    <mergeCell ref="J23:K23"/>
    <mergeCell ref="L23:M23"/>
    <mergeCell ref="N23:O23"/>
    <mergeCell ref="P23:Q23"/>
    <mergeCell ref="N22:O22"/>
    <mergeCell ref="P22:Q22"/>
    <mergeCell ref="R22:S22"/>
    <mergeCell ref="T22:U22"/>
    <mergeCell ref="V22:W22"/>
    <mergeCell ref="X22:Y22"/>
    <mergeCell ref="A22:C22"/>
    <mergeCell ref="D22:E22"/>
    <mergeCell ref="Z24:AA24"/>
    <mergeCell ref="AB24:AC24"/>
    <mergeCell ref="A25:A29"/>
    <mergeCell ref="B25:C25"/>
    <mergeCell ref="D25:E25"/>
    <mergeCell ref="F25:G25"/>
    <mergeCell ref="H25:I25"/>
    <mergeCell ref="J25:K25"/>
    <mergeCell ref="L25:M25"/>
    <mergeCell ref="N25:O25"/>
    <mergeCell ref="N24:O24"/>
    <mergeCell ref="P24:Q24"/>
    <mergeCell ref="R24:S24"/>
    <mergeCell ref="T24:U24"/>
    <mergeCell ref="V24:W24"/>
    <mergeCell ref="X24:Y24"/>
    <mergeCell ref="A24:C24"/>
    <mergeCell ref="D24:E24"/>
    <mergeCell ref="F24:G24"/>
    <mergeCell ref="H24:I24"/>
    <mergeCell ref="J24:K24"/>
    <mergeCell ref="L24:M24"/>
    <mergeCell ref="AB25:AC25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P25:Q25"/>
    <mergeCell ref="R25:S25"/>
    <mergeCell ref="T25:U25"/>
    <mergeCell ref="V25:W25"/>
    <mergeCell ref="X25:Y25"/>
    <mergeCell ref="Z25:AA25"/>
    <mergeCell ref="T26:U26"/>
    <mergeCell ref="V26:W26"/>
    <mergeCell ref="X26:Y26"/>
    <mergeCell ref="Z26:AA26"/>
    <mergeCell ref="AB26:AC26"/>
    <mergeCell ref="B27:C27"/>
    <mergeCell ref="D27:E27"/>
    <mergeCell ref="F27:G27"/>
    <mergeCell ref="H27:I27"/>
    <mergeCell ref="J27:K27"/>
    <mergeCell ref="X27:Y27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L27:M27"/>
    <mergeCell ref="N27:O27"/>
    <mergeCell ref="P27:Q27"/>
    <mergeCell ref="R27:S27"/>
    <mergeCell ref="T27:U27"/>
    <mergeCell ref="V27:W27"/>
    <mergeCell ref="AB28:AC28"/>
    <mergeCell ref="P28:Q28"/>
    <mergeCell ref="R28:S28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T28:U28"/>
    <mergeCell ref="V28:W28"/>
    <mergeCell ref="X28:Y28"/>
    <mergeCell ref="Z28:AA28"/>
    <mergeCell ref="T29:U29"/>
    <mergeCell ref="V29:W29"/>
    <mergeCell ref="X29:Y29"/>
    <mergeCell ref="Z29:AA29"/>
    <mergeCell ref="AB29:AC29"/>
    <mergeCell ref="A30:C30"/>
    <mergeCell ref="D30:E30"/>
    <mergeCell ref="F30:G30"/>
    <mergeCell ref="H30:I30"/>
    <mergeCell ref="J30:K30"/>
    <mergeCell ref="A31:C31"/>
    <mergeCell ref="D31:E31"/>
    <mergeCell ref="F31:G31"/>
    <mergeCell ref="H31:I31"/>
    <mergeCell ref="J31:K31"/>
    <mergeCell ref="L31:M31"/>
    <mergeCell ref="N31:O31"/>
    <mergeCell ref="L30:M30"/>
    <mergeCell ref="N30:O30"/>
    <mergeCell ref="AB31:AC31"/>
    <mergeCell ref="P31:Q31"/>
    <mergeCell ref="R31:S31"/>
    <mergeCell ref="T31:U31"/>
    <mergeCell ref="V31:W31"/>
    <mergeCell ref="X31:Y31"/>
    <mergeCell ref="Z31:AA31"/>
    <mergeCell ref="X30:Y30"/>
    <mergeCell ref="Z30:AA30"/>
    <mergeCell ref="AB30:AC30"/>
    <mergeCell ref="P30:Q30"/>
    <mergeCell ref="R30:S30"/>
    <mergeCell ref="T30:U30"/>
    <mergeCell ref="V30:W30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789A6-4AB5-4A2B-B069-E39537EE0246}">
  <sheetPr>
    <tabColor theme="5"/>
  </sheetPr>
  <dimension ref="A1:AC30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125" style="1" customWidth="1"/>
    <col min="4" max="28" width="5.625" style="1"/>
    <col min="29" max="29" width="6.875" style="1" customWidth="1"/>
    <col min="30" max="16384" width="5.625" style="1"/>
  </cols>
  <sheetData>
    <row r="1" spans="1:29">
      <c r="A1" s="37" t="s">
        <v>127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70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>
        <v>18</v>
      </c>
      <c r="E7" s="4" t="s">
        <v>21</v>
      </c>
      <c r="F7" s="3">
        <v>14</v>
      </c>
      <c r="G7" s="4" t="s">
        <v>21</v>
      </c>
      <c r="H7" s="3">
        <v>17</v>
      </c>
      <c r="I7" s="4" t="s">
        <v>21</v>
      </c>
      <c r="J7" s="3">
        <v>21</v>
      </c>
      <c r="K7" s="4" t="s">
        <v>21</v>
      </c>
      <c r="L7" s="3">
        <v>16</v>
      </c>
      <c r="M7" s="4" t="s">
        <v>21</v>
      </c>
      <c r="N7" s="3">
        <v>20</v>
      </c>
      <c r="O7" s="4" t="s">
        <v>21</v>
      </c>
      <c r="P7" s="3">
        <v>22</v>
      </c>
      <c r="Q7" s="4" t="s">
        <v>21</v>
      </c>
      <c r="R7" s="3">
        <v>23</v>
      </c>
      <c r="S7" s="4" t="s">
        <v>21</v>
      </c>
      <c r="T7" s="3">
        <v>22</v>
      </c>
      <c r="U7" s="4" t="s">
        <v>21</v>
      </c>
      <c r="V7" s="3">
        <v>21</v>
      </c>
      <c r="W7" s="4" t="s">
        <v>21</v>
      </c>
      <c r="X7" s="3">
        <v>20</v>
      </c>
      <c r="Y7" s="4" t="s">
        <v>21</v>
      </c>
      <c r="Z7" s="3">
        <v>17</v>
      </c>
      <c r="AA7" s="4" t="s">
        <v>21</v>
      </c>
      <c r="AB7" s="24">
        <f>Z7+X7+V7+T7+R7+P7+N7+L7+J7+H7+F7+D7</f>
        <v>231</v>
      </c>
      <c r="AC7" s="9" t="s">
        <v>21</v>
      </c>
    </row>
    <row r="8" spans="1:29" ht="24.75" customHeight="1">
      <c r="A8" s="65" t="s">
        <v>41</v>
      </c>
      <c r="B8" s="66"/>
      <c r="C8" s="67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>
        <v>2</v>
      </c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>
        <v>2</v>
      </c>
      <c r="Y8" s="4" t="s">
        <v>21</v>
      </c>
      <c r="Z8" s="3">
        <v>1</v>
      </c>
      <c r="AA8" s="4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>
        <v>18</v>
      </c>
      <c r="E9" s="4" t="s">
        <v>22</v>
      </c>
      <c r="F9" s="3"/>
      <c r="G9" s="4" t="s">
        <v>22</v>
      </c>
      <c r="H9" s="3"/>
      <c r="I9" s="4" t="s">
        <v>22</v>
      </c>
      <c r="J9" s="3">
        <v>3.5</v>
      </c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9</v>
      </c>
      <c r="S9" s="4" t="s">
        <v>22</v>
      </c>
      <c r="T9" s="3">
        <v>6</v>
      </c>
      <c r="U9" s="4" t="s">
        <v>22</v>
      </c>
      <c r="V9" s="3">
        <v>4</v>
      </c>
      <c r="W9" s="4" t="s">
        <v>22</v>
      </c>
      <c r="X9" s="3">
        <v>0.5</v>
      </c>
      <c r="Y9" s="4" t="s">
        <v>22</v>
      </c>
      <c r="Z9" s="3">
        <v>1</v>
      </c>
      <c r="AA9" s="4" t="s">
        <v>22</v>
      </c>
      <c r="AB9" s="24"/>
      <c r="AC9" s="9" t="s">
        <v>22</v>
      </c>
    </row>
    <row r="10" spans="1:29" ht="24.75" customHeight="1" thickBot="1">
      <c r="A10" s="65" t="s">
        <v>69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>
        <v>7680</v>
      </c>
      <c r="E11" s="75"/>
      <c r="F11" s="74">
        <v>7680</v>
      </c>
      <c r="G11" s="75"/>
      <c r="H11" s="74">
        <v>7680</v>
      </c>
      <c r="I11" s="75"/>
      <c r="J11" s="74">
        <v>7680</v>
      </c>
      <c r="K11" s="75"/>
      <c r="L11" s="74">
        <v>7680</v>
      </c>
      <c r="M11" s="75"/>
      <c r="N11" s="74">
        <v>7680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5"/>
      <c r="AB11" s="76"/>
      <c r="AC11" s="77"/>
    </row>
    <row r="12" spans="1:29" ht="24.75" customHeight="1">
      <c r="A12" s="65" t="s">
        <v>49</v>
      </c>
      <c r="B12" s="66"/>
      <c r="C12" s="67"/>
      <c r="D12" s="58">
        <v>1200</v>
      </c>
      <c r="E12" s="59"/>
      <c r="F12" s="58">
        <v>1200</v>
      </c>
      <c r="G12" s="59"/>
      <c r="H12" s="58">
        <v>1200</v>
      </c>
      <c r="I12" s="59"/>
      <c r="J12" s="58">
        <v>1200</v>
      </c>
      <c r="K12" s="59"/>
      <c r="L12" s="58">
        <v>1200</v>
      </c>
      <c r="M12" s="59"/>
      <c r="N12" s="58">
        <v>1200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59"/>
      <c r="AB12" s="78"/>
      <c r="AC12" s="79"/>
    </row>
    <row r="13" spans="1:29" ht="24.75" customHeight="1">
      <c r="A13" s="89" t="s">
        <v>27</v>
      </c>
      <c r="B13" s="90"/>
      <c r="C13" s="66"/>
      <c r="D13" s="58">
        <v>9600</v>
      </c>
      <c r="E13" s="59"/>
      <c r="F13" s="58">
        <v>9600</v>
      </c>
      <c r="G13" s="59"/>
      <c r="H13" s="58">
        <v>9600</v>
      </c>
      <c r="I13" s="59"/>
      <c r="J13" s="58">
        <v>9600</v>
      </c>
      <c r="K13" s="59"/>
      <c r="L13" s="58">
        <v>9600</v>
      </c>
      <c r="M13" s="59"/>
      <c r="N13" s="58">
        <v>9600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59"/>
      <c r="AB13" s="78"/>
      <c r="AC13" s="79"/>
    </row>
    <row r="14" spans="1:29" ht="24.75" customHeight="1" thickBot="1">
      <c r="A14" s="80" t="s">
        <v>50</v>
      </c>
      <c r="B14" s="81"/>
      <c r="C14" s="82"/>
      <c r="D14" s="85">
        <v>1500</v>
      </c>
      <c r="E14" s="86"/>
      <c r="F14" s="85">
        <v>1500</v>
      </c>
      <c r="G14" s="86"/>
      <c r="H14" s="85">
        <v>1500</v>
      </c>
      <c r="I14" s="86"/>
      <c r="J14" s="85">
        <v>1500</v>
      </c>
      <c r="K14" s="86"/>
      <c r="L14" s="85">
        <v>1500</v>
      </c>
      <c r="M14" s="86"/>
      <c r="N14" s="85">
        <v>1500</v>
      </c>
      <c r="O14" s="86"/>
      <c r="P14" s="85">
        <v>1562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86"/>
      <c r="AB14" s="87"/>
      <c r="AC14" s="88"/>
    </row>
    <row r="15" spans="1:29" ht="24.75" customHeight="1" thickTop="1">
      <c r="A15" s="91" t="s">
        <v>42</v>
      </c>
      <c r="B15" s="35" t="s">
        <v>110</v>
      </c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>
        <v>1100</v>
      </c>
      <c r="Q15" s="75"/>
      <c r="R15" s="74">
        <v>1150</v>
      </c>
      <c r="S15" s="75"/>
      <c r="T15" s="74">
        <v>1100</v>
      </c>
      <c r="U15" s="75"/>
      <c r="V15" s="74">
        <v>1100</v>
      </c>
      <c r="W15" s="75"/>
      <c r="X15" s="74">
        <v>1100</v>
      </c>
      <c r="Y15" s="75"/>
      <c r="Z15" s="74">
        <v>900</v>
      </c>
      <c r="AA15" s="75"/>
      <c r="AB15" s="76"/>
      <c r="AC15" s="77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78"/>
      <c r="AC16" s="79"/>
    </row>
    <row r="17" spans="1:29" ht="24.75" customHeight="1">
      <c r="A17" s="92"/>
      <c r="B17" s="16"/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78"/>
      <c r="AC17" s="79"/>
    </row>
    <row r="18" spans="1:29" ht="24.75" customHeight="1">
      <c r="A18" s="92"/>
      <c r="B18" s="94" t="s">
        <v>28</v>
      </c>
      <c r="C18" s="95"/>
      <c r="D18" s="58">
        <v>2400</v>
      </c>
      <c r="E18" s="59"/>
      <c r="F18" s="58">
        <v>4665</v>
      </c>
      <c r="G18" s="59"/>
      <c r="H18" s="58">
        <v>2715</v>
      </c>
      <c r="I18" s="59"/>
      <c r="J18" s="58">
        <v>5362</v>
      </c>
      <c r="K18" s="59"/>
      <c r="L18" s="58">
        <v>8576</v>
      </c>
      <c r="M18" s="59"/>
      <c r="N18" s="58">
        <v>3584</v>
      </c>
      <c r="O18" s="59"/>
      <c r="P18" s="58">
        <v>4792</v>
      </c>
      <c r="Q18" s="59"/>
      <c r="R18" s="58">
        <v>9648</v>
      </c>
      <c r="S18" s="59"/>
      <c r="T18" s="58">
        <v>4496</v>
      </c>
      <c r="U18" s="59"/>
      <c r="V18" s="58">
        <v>5584</v>
      </c>
      <c r="W18" s="59"/>
      <c r="X18" s="58">
        <v>6960</v>
      </c>
      <c r="Y18" s="59"/>
      <c r="Z18" s="58">
        <v>4768</v>
      </c>
      <c r="AA18" s="59"/>
      <c r="AB18" s="78"/>
      <c r="AC18" s="79"/>
    </row>
    <row r="19" spans="1:29" ht="24.75" customHeight="1">
      <c r="A19" s="92"/>
      <c r="B19" s="94" t="s">
        <v>29</v>
      </c>
      <c r="C19" s="95"/>
      <c r="D19" s="58">
        <v>1800</v>
      </c>
      <c r="E19" s="59"/>
      <c r="F19" s="58">
        <v>800</v>
      </c>
      <c r="G19" s="59"/>
      <c r="H19" s="58">
        <v>1800</v>
      </c>
      <c r="I19" s="59"/>
      <c r="J19" s="58">
        <v>2400</v>
      </c>
      <c r="K19" s="59"/>
      <c r="L19" s="58">
        <v>1400</v>
      </c>
      <c r="M19" s="59"/>
      <c r="N19" s="58">
        <v>2450</v>
      </c>
      <c r="O19" s="59"/>
      <c r="P19" s="58">
        <v>5550</v>
      </c>
      <c r="Q19" s="59"/>
      <c r="R19" s="58">
        <v>4000</v>
      </c>
      <c r="S19" s="59"/>
      <c r="T19" s="58">
        <v>3850</v>
      </c>
      <c r="U19" s="59"/>
      <c r="V19" s="58">
        <v>1350</v>
      </c>
      <c r="W19" s="59"/>
      <c r="X19" s="58">
        <v>6050</v>
      </c>
      <c r="Y19" s="59"/>
      <c r="Z19" s="58">
        <v>2250</v>
      </c>
      <c r="AA19" s="59"/>
      <c r="AB19" s="78"/>
      <c r="AC19" s="79"/>
    </row>
    <row r="20" spans="1:29" ht="24.75" customHeight="1" thickBot="1">
      <c r="A20" s="93"/>
      <c r="B20" s="52" t="s">
        <v>30</v>
      </c>
      <c r="C20" s="48"/>
      <c r="D20" s="85">
        <v>2250</v>
      </c>
      <c r="E20" s="86"/>
      <c r="F20" s="85">
        <v>1000</v>
      </c>
      <c r="G20" s="86"/>
      <c r="H20" s="85">
        <v>4250</v>
      </c>
      <c r="I20" s="86"/>
      <c r="J20" s="85">
        <v>4200</v>
      </c>
      <c r="K20" s="86"/>
      <c r="L20" s="85">
        <v>10000</v>
      </c>
      <c r="M20" s="86"/>
      <c r="N20" s="85">
        <v>2000</v>
      </c>
      <c r="O20" s="86"/>
      <c r="P20" s="85">
        <v>0</v>
      </c>
      <c r="Q20" s="86"/>
      <c r="R20" s="85">
        <v>0</v>
      </c>
      <c r="S20" s="86"/>
      <c r="T20" s="85">
        <v>0</v>
      </c>
      <c r="U20" s="86"/>
      <c r="V20" s="85">
        <v>0</v>
      </c>
      <c r="W20" s="86"/>
      <c r="X20" s="85">
        <v>0</v>
      </c>
      <c r="Y20" s="86"/>
      <c r="Z20" s="85">
        <v>0</v>
      </c>
      <c r="AA20" s="86"/>
      <c r="AB20" s="87"/>
      <c r="AC20" s="88"/>
    </row>
    <row r="21" spans="1:29" ht="24.75" customHeight="1" thickTop="1">
      <c r="A21" s="71" t="s">
        <v>31</v>
      </c>
      <c r="B21" s="72"/>
      <c r="C21" s="73"/>
      <c r="D21" s="74">
        <f>INT(D7*D11+D8*D13+D10*D14+D9*D12+D15+D16+D17+D18+D19+D20)</f>
        <v>175890</v>
      </c>
      <c r="E21" s="75"/>
      <c r="F21" s="74">
        <f t="shared" ref="F21" si="0">INT(F7*F11+F8*F13+F10*F12+F15+F16+F17+F18+F19+F20)</f>
        <v>113985</v>
      </c>
      <c r="G21" s="75"/>
      <c r="H21" s="74">
        <f t="shared" ref="H21" si="1">INT(H7*H11+H8*H13+H10*H12+H15+H16+H17+H18+H19+H20)</f>
        <v>139325</v>
      </c>
      <c r="I21" s="75"/>
      <c r="J21" s="74">
        <f>INT(J7*J11+J8*J13+J10*J14+J9*J12+J15+J16+J17+J18+J19+J20)</f>
        <v>177442</v>
      </c>
      <c r="K21" s="75"/>
      <c r="L21" s="74">
        <f t="shared" ref="L21" si="2">INT(L7*L11+L8*L13+L10*L12+L15+L16+L17+L18+L19+L20)</f>
        <v>162056</v>
      </c>
      <c r="M21" s="75"/>
      <c r="N21" s="74">
        <f t="shared" ref="N21" si="3">INT(N7*N11+N8*N13+N10*N12+N15+N16+N17+N18+N19+N20)</f>
        <v>161634</v>
      </c>
      <c r="O21" s="75"/>
      <c r="P21" s="74">
        <f>INT(P7*P11+P8*P13+P10*P12+P15+P16+P17+P18+P19+P20)</f>
        <v>187442</v>
      </c>
      <c r="Q21" s="75"/>
      <c r="R21" s="74">
        <f>INT(R7*R11+R8*R13+R10*R14+R9*R12+R15+R16+R17+R18+R19+R20)</f>
        <v>210048</v>
      </c>
      <c r="S21" s="75"/>
      <c r="T21" s="74">
        <f>INT(T7*T11+T8*T13+T10*T14+T9*T12+T15+T16+T17+T18+T19+T20)</f>
        <v>192946</v>
      </c>
      <c r="U21" s="75"/>
      <c r="V21" s="74">
        <f>INT(V7*V11+V8*V13+V10*V14+V9*V12+V15+V16+V17+V18+V19+V20)</f>
        <v>181034</v>
      </c>
      <c r="W21" s="75"/>
      <c r="X21" s="74">
        <f>INT(X7*X11+X8*X13+X10*X14+X9*X12+X15+X16+X17+X18+X19+X20)</f>
        <v>194735</v>
      </c>
      <c r="Y21" s="75"/>
      <c r="Z21" s="74">
        <f>INT(Z7*Z11+Z8*Z13+Z9*Z12+Z15+Z16+Z17+Z18+Z19+Z20)</f>
        <v>155168</v>
      </c>
      <c r="AA21" s="75"/>
      <c r="AB21" s="96">
        <f>D21+F21+H21+J21+L21+N21+P21+R21+T21+V21+X21+Z21</f>
        <v>2051705</v>
      </c>
      <c r="AC21" s="97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>
        <v>30000</v>
      </c>
      <c r="M22" s="102"/>
      <c r="N22" s="101"/>
      <c r="O22" s="102"/>
      <c r="P22" s="101"/>
      <c r="Q22" s="102"/>
      <c r="R22" s="101"/>
      <c r="S22" s="102"/>
      <c r="T22" s="101">
        <v>30000</v>
      </c>
      <c r="U22" s="102"/>
      <c r="V22" s="101"/>
      <c r="W22" s="102"/>
      <c r="X22" s="101"/>
      <c r="Y22" s="102"/>
      <c r="Z22" s="101"/>
      <c r="AA22" s="102"/>
      <c r="AB22" s="103"/>
      <c r="AC22" s="104"/>
    </row>
    <row r="23" spans="1:29" ht="24.75" customHeight="1" thickBot="1">
      <c r="A23" s="117" t="s">
        <v>20</v>
      </c>
      <c r="B23" s="118"/>
      <c r="C23" s="119"/>
      <c r="D23" s="105">
        <f>D21+D22</f>
        <v>175890</v>
      </c>
      <c r="E23" s="106"/>
      <c r="F23" s="105">
        <f t="shared" ref="F23" si="4">F21+F22</f>
        <v>113985</v>
      </c>
      <c r="G23" s="106"/>
      <c r="H23" s="105">
        <f t="shared" ref="H23" si="5">H21+H22</f>
        <v>139325</v>
      </c>
      <c r="I23" s="106"/>
      <c r="J23" s="105">
        <f t="shared" ref="J23" si="6">J21+J22</f>
        <v>177442</v>
      </c>
      <c r="K23" s="106"/>
      <c r="L23" s="105">
        <f t="shared" ref="L23" si="7">L21+L22</f>
        <v>192056</v>
      </c>
      <c r="M23" s="106"/>
      <c r="N23" s="105">
        <f t="shared" ref="N23" si="8">N21+N22</f>
        <v>161634</v>
      </c>
      <c r="O23" s="106"/>
      <c r="P23" s="105">
        <f t="shared" ref="P23" si="9">P21+P22</f>
        <v>187442</v>
      </c>
      <c r="Q23" s="106"/>
      <c r="R23" s="105">
        <f t="shared" ref="R23" si="10">R21+R22</f>
        <v>210048</v>
      </c>
      <c r="S23" s="106"/>
      <c r="T23" s="105">
        <f t="shared" ref="T23" si="11">T21+T22</f>
        <v>222946</v>
      </c>
      <c r="U23" s="106"/>
      <c r="V23" s="105">
        <f t="shared" ref="V23" si="12">V21+V22</f>
        <v>181034</v>
      </c>
      <c r="W23" s="106"/>
      <c r="X23" s="105">
        <f t="shared" ref="X23" si="13">X21+X22</f>
        <v>194735</v>
      </c>
      <c r="Y23" s="106"/>
      <c r="Z23" s="105">
        <f t="shared" ref="Z23" si="14">Z21+Z22</f>
        <v>155168</v>
      </c>
      <c r="AA23" s="106"/>
      <c r="AB23" s="107">
        <f>D23+F23+H23+J23+L23+N23+P23+R23+T23+V23+X23+Z23</f>
        <v>2111705</v>
      </c>
      <c r="AC23" s="108"/>
    </row>
    <row r="24" spans="1:29" ht="24.75" customHeight="1">
      <c r="A24" s="109" t="s">
        <v>33</v>
      </c>
      <c r="B24" s="113" t="s">
        <v>34</v>
      </c>
      <c r="C24" s="114"/>
      <c r="D24" s="115">
        <f>D23*0.003</f>
        <v>527.66999999999996</v>
      </c>
      <c r="E24" s="116"/>
      <c r="F24" s="115">
        <f t="shared" ref="F24" si="15">F23*0.003</f>
        <v>341.95499999999998</v>
      </c>
      <c r="G24" s="116"/>
      <c r="H24" s="115">
        <f t="shared" ref="H24" si="16">H23*0.003</f>
        <v>417.97500000000002</v>
      </c>
      <c r="I24" s="116"/>
      <c r="J24" s="115">
        <f t="shared" ref="J24" si="17">J23*0.003</f>
        <v>532.32600000000002</v>
      </c>
      <c r="K24" s="116"/>
      <c r="L24" s="115">
        <f t="shared" ref="L24" si="18">L23*0.003</f>
        <v>576.16800000000001</v>
      </c>
      <c r="M24" s="116"/>
      <c r="N24" s="115">
        <f>N23*0.003</f>
        <v>484.90199999999999</v>
      </c>
      <c r="O24" s="116"/>
      <c r="P24" s="115">
        <f t="shared" ref="P24" si="19">P23*0.003</f>
        <v>562.32600000000002</v>
      </c>
      <c r="Q24" s="116"/>
      <c r="R24" s="115">
        <f t="shared" ref="R24" si="20">R23*0.003</f>
        <v>630.14400000000001</v>
      </c>
      <c r="S24" s="116"/>
      <c r="T24" s="115">
        <f t="shared" ref="T24" si="21">T23*0.003</f>
        <v>668.83799999999997</v>
      </c>
      <c r="U24" s="116"/>
      <c r="V24" s="115">
        <f t="shared" ref="V24" si="22">V23*0.003</f>
        <v>543.10199999999998</v>
      </c>
      <c r="W24" s="116"/>
      <c r="X24" s="115">
        <f t="shared" ref="X24" si="23">X23*0.003</f>
        <v>584.20500000000004</v>
      </c>
      <c r="Y24" s="116"/>
      <c r="Z24" s="115">
        <f t="shared" ref="Z24" si="24">Z23*0.003</f>
        <v>465.50400000000002</v>
      </c>
      <c r="AA24" s="116"/>
      <c r="AB24" s="120"/>
      <c r="AC24" s="121"/>
    </row>
    <row r="25" spans="1:29" ht="24.75" customHeight="1">
      <c r="A25" s="110"/>
      <c r="B25" s="94" t="s">
        <v>35</v>
      </c>
      <c r="C25" s="95"/>
      <c r="D25" s="58">
        <v>5130</v>
      </c>
      <c r="E25" s="59"/>
      <c r="F25" s="58">
        <v>1440</v>
      </c>
      <c r="G25" s="59"/>
      <c r="H25" s="58">
        <v>2740</v>
      </c>
      <c r="I25" s="59"/>
      <c r="J25" s="58">
        <v>4050</v>
      </c>
      <c r="K25" s="59"/>
      <c r="L25" s="58">
        <v>5890</v>
      </c>
      <c r="M25" s="59"/>
      <c r="N25" s="58">
        <v>3350</v>
      </c>
      <c r="O25" s="59"/>
      <c r="P25" s="58">
        <v>4340</v>
      </c>
      <c r="Q25" s="59"/>
      <c r="R25" s="58">
        <v>5050</v>
      </c>
      <c r="S25" s="59"/>
      <c r="T25" s="58">
        <v>5990</v>
      </c>
      <c r="U25" s="59"/>
      <c r="V25" s="58">
        <v>4500</v>
      </c>
      <c r="W25" s="59"/>
      <c r="X25" s="58">
        <v>4770</v>
      </c>
      <c r="Y25" s="59"/>
      <c r="Z25" s="58">
        <v>3200</v>
      </c>
      <c r="AA25" s="59"/>
      <c r="AB25" s="78"/>
      <c r="AC25" s="79"/>
    </row>
    <row r="26" spans="1:29" ht="24.75" customHeight="1">
      <c r="A26" s="110"/>
      <c r="B26" s="94" t="s">
        <v>47</v>
      </c>
      <c r="C26" s="95"/>
      <c r="D26" s="58">
        <v>5200</v>
      </c>
      <c r="E26" s="59"/>
      <c r="F26" s="58">
        <v>5200</v>
      </c>
      <c r="G26" s="59"/>
      <c r="H26" s="58">
        <v>5400</v>
      </c>
      <c r="I26" s="59"/>
      <c r="J26" s="58">
        <v>5400</v>
      </c>
      <c r="K26" s="59"/>
      <c r="L26" s="58">
        <v>5400</v>
      </c>
      <c r="M26" s="59"/>
      <c r="N26" s="58">
        <v>5400</v>
      </c>
      <c r="O26" s="59"/>
      <c r="P26" s="58">
        <v>5400</v>
      </c>
      <c r="Q26" s="59"/>
      <c r="R26" s="58">
        <v>5400</v>
      </c>
      <c r="S26" s="59"/>
      <c r="T26" s="58">
        <v>5400</v>
      </c>
      <c r="U26" s="59"/>
      <c r="V26" s="58">
        <v>5400</v>
      </c>
      <c r="W26" s="59"/>
      <c r="X26" s="58">
        <v>5400</v>
      </c>
      <c r="Y26" s="59"/>
      <c r="Z26" s="58">
        <v>5400</v>
      </c>
      <c r="AA26" s="59"/>
      <c r="AB26" s="78"/>
      <c r="AC26" s="79"/>
    </row>
    <row r="27" spans="1:29" ht="24.75" customHeight="1">
      <c r="A27" s="111"/>
      <c r="B27" s="94" t="s">
        <v>48</v>
      </c>
      <c r="C27" s="95"/>
      <c r="D27" s="83">
        <v>22552</v>
      </c>
      <c r="E27" s="84"/>
      <c r="F27" s="83">
        <v>22552</v>
      </c>
      <c r="G27" s="84"/>
      <c r="H27" s="83">
        <v>22552</v>
      </c>
      <c r="I27" s="84"/>
      <c r="J27" s="83">
        <v>22552</v>
      </c>
      <c r="K27" s="84"/>
      <c r="L27" s="83">
        <v>22552</v>
      </c>
      <c r="M27" s="84"/>
      <c r="N27" s="83">
        <v>24532</v>
      </c>
      <c r="O27" s="84"/>
      <c r="P27" s="83">
        <v>24532</v>
      </c>
      <c r="Q27" s="84"/>
      <c r="R27" s="83">
        <v>24532</v>
      </c>
      <c r="S27" s="84"/>
      <c r="T27" s="83">
        <v>24532</v>
      </c>
      <c r="U27" s="84"/>
      <c r="V27" s="83">
        <v>24532</v>
      </c>
      <c r="W27" s="84"/>
      <c r="X27" s="83">
        <v>24532</v>
      </c>
      <c r="Y27" s="84"/>
      <c r="Z27" s="83">
        <v>24532</v>
      </c>
      <c r="AA27" s="84"/>
      <c r="AB27" s="96"/>
      <c r="AC27" s="97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>
        <v>30000</v>
      </c>
      <c r="M28" s="102"/>
      <c r="N28" s="101"/>
      <c r="O28" s="102"/>
      <c r="P28" s="101"/>
      <c r="Q28" s="102"/>
      <c r="R28" s="101"/>
      <c r="S28" s="102"/>
      <c r="T28" s="101">
        <v>30000</v>
      </c>
      <c r="U28" s="102"/>
      <c r="V28" s="101"/>
      <c r="W28" s="102"/>
      <c r="X28" s="101"/>
      <c r="Y28" s="102"/>
      <c r="Z28" s="101"/>
      <c r="AA28" s="102"/>
      <c r="AB28" s="122"/>
      <c r="AC28" s="123"/>
    </row>
    <row r="29" spans="1:29" ht="24.75" customHeight="1" thickBot="1">
      <c r="A29" s="71" t="s">
        <v>36</v>
      </c>
      <c r="B29" s="72"/>
      <c r="C29" s="73"/>
      <c r="D29" s="83">
        <f>SUM(D24:D28)</f>
        <v>33409.67</v>
      </c>
      <c r="E29" s="84"/>
      <c r="F29" s="83">
        <f t="shared" ref="F29" si="25">SUM(F24:F28)</f>
        <v>29533.955000000002</v>
      </c>
      <c r="G29" s="84"/>
      <c r="H29" s="83">
        <f t="shared" ref="H29" si="26">SUM(H24:H28)</f>
        <v>31109.974999999999</v>
      </c>
      <c r="I29" s="84"/>
      <c r="J29" s="83">
        <f t="shared" ref="J29" si="27">SUM(J24:J28)</f>
        <v>32534.326000000001</v>
      </c>
      <c r="K29" s="84"/>
      <c r="L29" s="83">
        <f t="shared" ref="L29" si="28">SUM(L24:L28)</f>
        <v>64418.167999999998</v>
      </c>
      <c r="M29" s="84"/>
      <c r="N29" s="83">
        <f t="shared" ref="N29" si="29">SUM(N24:N28)</f>
        <v>33766.902000000002</v>
      </c>
      <c r="O29" s="84"/>
      <c r="P29" s="83">
        <f t="shared" ref="P29" si="30">SUM(P24:P28)</f>
        <v>34834.326000000001</v>
      </c>
      <c r="Q29" s="84"/>
      <c r="R29" s="83">
        <f t="shared" ref="R29" si="31">SUM(R24:R28)</f>
        <v>35612.144</v>
      </c>
      <c r="S29" s="84"/>
      <c r="T29" s="83">
        <f t="shared" ref="T29" si="32">SUM(T24:T28)</f>
        <v>66590.838000000003</v>
      </c>
      <c r="U29" s="84"/>
      <c r="V29" s="83">
        <f t="shared" ref="V29" si="33">SUM(V24:V28)</f>
        <v>34975.101999999999</v>
      </c>
      <c r="W29" s="84"/>
      <c r="X29" s="83">
        <f t="shared" ref="X29" si="34">SUM(X24:X28)</f>
        <v>35286.205000000002</v>
      </c>
      <c r="Y29" s="84"/>
      <c r="Z29" s="83">
        <f t="shared" ref="Z29" si="35">SUM(Z24:Z28)</f>
        <v>33597.504000000001</v>
      </c>
      <c r="AA29" s="131"/>
      <c r="AB29" s="96">
        <f t="shared" ref="AB29" si="36">SUM(AB24:AB28)</f>
        <v>0</v>
      </c>
      <c r="AC29" s="97"/>
    </row>
    <row r="30" spans="1:29" ht="24.75" customHeight="1" thickTop="1" thickBot="1">
      <c r="A30" s="132" t="s">
        <v>37</v>
      </c>
      <c r="B30" s="133"/>
      <c r="C30" s="134"/>
      <c r="D30" s="126">
        <f>D23-D29</f>
        <v>142480.33000000002</v>
      </c>
      <c r="E30" s="127"/>
      <c r="F30" s="126">
        <f>F23-F29</f>
        <v>84451.044999999998</v>
      </c>
      <c r="G30" s="127"/>
      <c r="H30" s="126">
        <f>H23-H29</f>
        <v>108215.02499999999</v>
      </c>
      <c r="I30" s="127"/>
      <c r="J30" s="126">
        <f>J23-J29</f>
        <v>144907.674</v>
      </c>
      <c r="K30" s="127"/>
      <c r="L30" s="126">
        <f>L23-L29</f>
        <v>127637.83199999999</v>
      </c>
      <c r="M30" s="127"/>
      <c r="N30" s="126">
        <f>N23-N29</f>
        <v>127867.098</v>
      </c>
      <c r="O30" s="127"/>
      <c r="P30" s="126">
        <f>P23-P29</f>
        <v>152607.674</v>
      </c>
      <c r="Q30" s="127"/>
      <c r="R30" s="126">
        <f>R23-R29</f>
        <v>174435.856</v>
      </c>
      <c r="S30" s="127"/>
      <c r="T30" s="126">
        <f>T23-T29</f>
        <v>156355.16200000001</v>
      </c>
      <c r="U30" s="127"/>
      <c r="V30" s="126">
        <f>V23-V29</f>
        <v>146058.89799999999</v>
      </c>
      <c r="W30" s="127"/>
      <c r="X30" s="126">
        <f>X21-X29</f>
        <v>159448.79499999998</v>
      </c>
      <c r="Y30" s="127"/>
      <c r="Z30" s="126">
        <f>Z23-Z29</f>
        <v>121570.496</v>
      </c>
      <c r="AA30" s="128"/>
      <c r="AB30" s="129">
        <f>D30+F30+H30+J30+L30+N30+P30+R30+T30+V30+X30+Z30</f>
        <v>1646035.885</v>
      </c>
      <c r="AC30" s="130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N18:O18"/>
    <mergeCell ref="P18:Q18"/>
    <mergeCell ref="R18:S18"/>
    <mergeCell ref="T18:U18"/>
    <mergeCell ref="V18:W18"/>
    <mergeCell ref="X18:Y18"/>
    <mergeCell ref="F20:G20"/>
    <mergeCell ref="H20:I20"/>
    <mergeCell ref="J20:K20"/>
    <mergeCell ref="L20:M20"/>
    <mergeCell ref="R19:S19"/>
    <mergeCell ref="T19:U19"/>
    <mergeCell ref="V19:W19"/>
    <mergeCell ref="X19:Y19"/>
    <mergeCell ref="Z19:AA19"/>
    <mergeCell ref="R21:S21"/>
    <mergeCell ref="T21:U21"/>
    <mergeCell ref="V21:W21"/>
    <mergeCell ref="X21:Y21"/>
    <mergeCell ref="Z21:AA21"/>
    <mergeCell ref="AB21:AC21"/>
    <mergeCell ref="Z20:AA20"/>
    <mergeCell ref="AB20:AC20"/>
    <mergeCell ref="R20:S20"/>
    <mergeCell ref="T20:U20"/>
    <mergeCell ref="V20:W20"/>
    <mergeCell ref="X20:Y20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F8EB-9F35-4E96-A33A-285874964423}">
  <sheetPr codeName="Sheet3">
    <tabColor theme="5"/>
  </sheetPr>
  <dimension ref="A1:AC30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127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60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>
        <v>7</v>
      </c>
      <c r="E7" s="4" t="s">
        <v>21</v>
      </c>
      <c r="F7" s="3">
        <v>4</v>
      </c>
      <c r="G7" s="4" t="s">
        <v>21</v>
      </c>
      <c r="H7" s="3">
        <v>7</v>
      </c>
      <c r="I7" s="4" t="s">
        <v>21</v>
      </c>
      <c r="J7" s="3">
        <v>10</v>
      </c>
      <c r="K7" s="4" t="s">
        <v>21</v>
      </c>
      <c r="L7" s="3">
        <v>9</v>
      </c>
      <c r="M7" s="4" t="s">
        <v>21</v>
      </c>
      <c r="N7" s="3">
        <v>7</v>
      </c>
      <c r="O7" s="4" t="s">
        <v>21</v>
      </c>
      <c r="P7" s="3">
        <v>9</v>
      </c>
      <c r="Q7" s="4" t="s">
        <v>21</v>
      </c>
      <c r="R7" s="3">
        <v>16</v>
      </c>
      <c r="S7" s="4" t="s">
        <v>21</v>
      </c>
      <c r="T7" s="3">
        <v>7</v>
      </c>
      <c r="U7" s="4" t="s">
        <v>21</v>
      </c>
      <c r="V7" s="3">
        <v>13</v>
      </c>
      <c r="W7" s="4" t="s">
        <v>21</v>
      </c>
      <c r="X7" s="3">
        <v>16</v>
      </c>
      <c r="Y7" s="4" t="s">
        <v>21</v>
      </c>
      <c r="Z7" s="3">
        <v>14</v>
      </c>
      <c r="AA7" s="4" t="s">
        <v>21</v>
      </c>
      <c r="AB7" s="24"/>
      <c r="AC7" s="9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1</v>
      </c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>
        <v>3.5</v>
      </c>
      <c r="G9" s="4" t="s">
        <v>22</v>
      </c>
      <c r="H9" s="3"/>
      <c r="I9" s="4" t="s">
        <v>22</v>
      </c>
      <c r="J9" s="3">
        <v>0.5</v>
      </c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>
        <v>9</v>
      </c>
      <c r="U9" s="4" t="s">
        <v>22</v>
      </c>
      <c r="V9" s="3">
        <v>12</v>
      </c>
      <c r="W9" s="4" t="s">
        <v>22</v>
      </c>
      <c r="X9" s="3"/>
      <c r="Y9" s="4" t="s">
        <v>22</v>
      </c>
      <c r="Z9" s="3">
        <v>4</v>
      </c>
      <c r="AA9" s="4" t="s">
        <v>22</v>
      </c>
      <c r="AB9" s="24"/>
      <c r="AC9" s="9" t="s">
        <v>22</v>
      </c>
    </row>
    <row r="10" spans="1:29" ht="24.75" customHeight="1" thickBot="1">
      <c r="A10" s="65" t="s">
        <v>69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>
        <v>7680</v>
      </c>
      <c r="E11" s="75"/>
      <c r="F11" s="74">
        <v>7680</v>
      </c>
      <c r="G11" s="75"/>
      <c r="H11" s="74">
        <v>7680</v>
      </c>
      <c r="I11" s="75"/>
      <c r="J11" s="74">
        <v>7680</v>
      </c>
      <c r="K11" s="75"/>
      <c r="L11" s="74">
        <v>7680</v>
      </c>
      <c r="M11" s="75"/>
      <c r="N11" s="74">
        <v>7680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5"/>
      <c r="AB11" s="76"/>
      <c r="AC11" s="77"/>
    </row>
    <row r="12" spans="1:29" ht="24.75" customHeight="1">
      <c r="A12" s="65" t="s">
        <v>49</v>
      </c>
      <c r="B12" s="66"/>
      <c r="C12" s="67"/>
      <c r="D12" s="58">
        <v>1200</v>
      </c>
      <c r="E12" s="59"/>
      <c r="F12" s="58">
        <v>1200</v>
      </c>
      <c r="G12" s="59"/>
      <c r="H12" s="58">
        <v>1200</v>
      </c>
      <c r="I12" s="59"/>
      <c r="J12" s="58">
        <v>1200</v>
      </c>
      <c r="K12" s="59"/>
      <c r="L12" s="58">
        <v>1200</v>
      </c>
      <c r="M12" s="59"/>
      <c r="N12" s="58">
        <v>1200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59"/>
      <c r="AB12" s="78"/>
      <c r="AC12" s="79"/>
    </row>
    <row r="13" spans="1:29" ht="24.75" customHeight="1">
      <c r="A13" s="89" t="s">
        <v>27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59"/>
      <c r="AB13" s="78"/>
      <c r="AC13" s="79"/>
    </row>
    <row r="14" spans="1:29" ht="24.75" customHeight="1" thickBot="1">
      <c r="A14" s="80" t="s">
        <v>50</v>
      </c>
      <c r="B14" s="81"/>
      <c r="C14" s="82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86"/>
      <c r="AB14" s="87"/>
      <c r="AC14" s="88"/>
    </row>
    <row r="15" spans="1:29" ht="24.75" customHeight="1" thickTop="1">
      <c r="A15" s="91" t="s">
        <v>42</v>
      </c>
      <c r="B15" s="35" t="s">
        <v>110</v>
      </c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>
        <v>0</v>
      </c>
      <c r="Q15" s="75"/>
      <c r="R15" s="74">
        <v>850</v>
      </c>
      <c r="S15" s="75"/>
      <c r="T15" s="74">
        <v>350</v>
      </c>
      <c r="U15" s="75"/>
      <c r="V15" s="74">
        <v>650</v>
      </c>
      <c r="W15" s="75"/>
      <c r="X15" s="74">
        <v>800</v>
      </c>
      <c r="Y15" s="75"/>
      <c r="Z15" s="74">
        <v>700</v>
      </c>
      <c r="AA15" s="75"/>
      <c r="AB15" s="96"/>
      <c r="AC15" s="97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78"/>
      <c r="AC16" s="79"/>
    </row>
    <row r="17" spans="1:29" ht="24.75" customHeight="1">
      <c r="A17" s="92"/>
      <c r="B17" s="16"/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78"/>
      <c r="AC17" s="79"/>
    </row>
    <row r="18" spans="1:29" ht="24.75" customHeight="1">
      <c r="A18" s="92"/>
      <c r="B18" s="94" t="s">
        <v>28</v>
      </c>
      <c r="C18" s="95"/>
      <c r="D18" s="58">
        <v>2257</v>
      </c>
      <c r="E18" s="59"/>
      <c r="F18" s="58">
        <v>1275</v>
      </c>
      <c r="G18" s="59"/>
      <c r="H18" s="58">
        <v>1740</v>
      </c>
      <c r="I18" s="59"/>
      <c r="J18" s="58">
        <v>1440</v>
      </c>
      <c r="K18" s="59"/>
      <c r="L18" s="58">
        <v>1440</v>
      </c>
      <c r="M18" s="59"/>
      <c r="N18" s="58">
        <v>2176</v>
      </c>
      <c r="O18" s="59"/>
      <c r="P18" s="58">
        <v>640</v>
      </c>
      <c r="Q18" s="59"/>
      <c r="R18" s="58">
        <v>7976</v>
      </c>
      <c r="S18" s="59"/>
      <c r="T18" s="58">
        <v>1080</v>
      </c>
      <c r="U18" s="59"/>
      <c r="V18" s="58">
        <v>3536</v>
      </c>
      <c r="W18" s="59"/>
      <c r="X18" s="58">
        <v>6400</v>
      </c>
      <c r="Y18" s="59"/>
      <c r="Z18" s="58">
        <v>5824</v>
      </c>
      <c r="AA18" s="59"/>
      <c r="AB18" s="78"/>
      <c r="AC18" s="79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>
        <v>3750</v>
      </c>
      <c r="Y19" s="59"/>
      <c r="Z19" s="58"/>
      <c r="AA19" s="59"/>
      <c r="AB19" s="78"/>
      <c r="AC19" s="79"/>
    </row>
    <row r="20" spans="1:29" ht="24.75" customHeight="1" thickBot="1">
      <c r="A20" s="93"/>
      <c r="B20" s="52" t="s">
        <v>30</v>
      </c>
      <c r="C20" s="48"/>
      <c r="D20" s="85"/>
      <c r="E20" s="86"/>
      <c r="F20" s="85">
        <v>1000</v>
      </c>
      <c r="G20" s="86"/>
      <c r="H20" s="85"/>
      <c r="I20" s="86"/>
      <c r="J20" s="85"/>
      <c r="K20" s="86"/>
      <c r="L20" s="85">
        <v>1000</v>
      </c>
      <c r="M20" s="86"/>
      <c r="N20" s="85">
        <v>2000</v>
      </c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78"/>
      <c r="AC20" s="79"/>
    </row>
    <row r="21" spans="1:29" ht="24.75" customHeight="1" thickTop="1">
      <c r="A21" s="71" t="s">
        <v>31</v>
      </c>
      <c r="B21" s="72"/>
      <c r="C21" s="73"/>
      <c r="D21" s="74">
        <f>INT(D7*D11+D8*D13+D10*D12+D15+D16+D17+D18+D19+D20)</f>
        <v>56017</v>
      </c>
      <c r="E21" s="75"/>
      <c r="F21" s="74">
        <f>INT(F7*F11+F8*F13+F9*F12+F15+F16+F17+F18+F19+F20)</f>
        <v>37195</v>
      </c>
      <c r="G21" s="75"/>
      <c r="H21" s="74">
        <f t="shared" ref="H21" si="0">INT(H7*H11+H8*H13+H10*H12+H15+H16+H17+H18+H19+H20)</f>
        <v>55500</v>
      </c>
      <c r="I21" s="75"/>
      <c r="J21" s="74">
        <f>INT(J7*J11+J8*J13+J9*J12+J15+J16+J17+J18+J19+J20)</f>
        <v>78840</v>
      </c>
      <c r="K21" s="75"/>
      <c r="L21" s="74">
        <f t="shared" ref="L21" si="1">INT(L7*L11+L8*L13+L10*L12+L15+L16+L17+L18+L19+L20)</f>
        <v>71560</v>
      </c>
      <c r="M21" s="75"/>
      <c r="N21" s="74">
        <f t="shared" ref="N21" si="2">INT(N7*N11+N8*N13+N10*N12+N15+N16+N17+N18+N19+N20)</f>
        <v>57936</v>
      </c>
      <c r="O21" s="75"/>
      <c r="P21" s="74">
        <f t="shared" ref="P21" si="3">INT(P7*P11+P8*P13+P10*P12+P15+P16+P17+P18+P19+P20)</f>
        <v>72640</v>
      </c>
      <c r="Q21" s="75"/>
      <c r="R21" s="74">
        <f t="shared" ref="R21" si="4">INT(R7*R11+R8*R13+R10*R12+R15+R16+R17+R18+R19+R20)</f>
        <v>146826</v>
      </c>
      <c r="S21" s="75"/>
      <c r="T21" s="74">
        <f>INT(T7*T11+T8*T13+T9*T12+T15+T16+T17+T18+T19+T20)</f>
        <v>68680</v>
      </c>
      <c r="U21" s="75"/>
      <c r="V21" s="74">
        <f>INT(V7*V11+V8*V13+V9*V12+V15+V16+V17+V18+V19+V20)</f>
        <v>123186</v>
      </c>
      <c r="W21" s="75"/>
      <c r="X21" s="74">
        <f t="shared" ref="X21" si="5">INT(X7*X11+X8*X13+X10*X12+X15+X16+X17+X18+X19+X20)</f>
        <v>138950</v>
      </c>
      <c r="Y21" s="75"/>
      <c r="Z21" s="74">
        <f>INT(Z7*Z11+Z8*Z13+Z9*Z12+Z15+Z16+Z17+Z18+Z19+Z20)</f>
        <v>123524</v>
      </c>
      <c r="AA21" s="75"/>
      <c r="AB21" s="78">
        <f>D21+F21+H21+J21+L21+N21+P21+R21+T21+V21+X21+Z21</f>
        <v>1030854</v>
      </c>
      <c r="AC21" s="79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>
        <v>10000</v>
      </c>
      <c r="U22" s="102"/>
      <c r="V22" s="101"/>
      <c r="W22" s="102"/>
      <c r="X22" s="101"/>
      <c r="Y22" s="102"/>
      <c r="Z22" s="101"/>
      <c r="AA22" s="102"/>
      <c r="AB22" s="103"/>
      <c r="AC22" s="104"/>
    </row>
    <row r="23" spans="1:29" ht="24.75" customHeight="1" thickBot="1">
      <c r="A23" s="117" t="s">
        <v>20</v>
      </c>
      <c r="B23" s="118"/>
      <c r="C23" s="119"/>
      <c r="D23" s="105">
        <f>D21+D22</f>
        <v>56017</v>
      </c>
      <c r="E23" s="106"/>
      <c r="F23" s="105">
        <f t="shared" ref="F23" si="6">F21+F22</f>
        <v>37195</v>
      </c>
      <c r="G23" s="106"/>
      <c r="H23" s="105">
        <f t="shared" ref="H23" si="7">H21+H22</f>
        <v>55500</v>
      </c>
      <c r="I23" s="106"/>
      <c r="J23" s="105">
        <f t="shared" ref="J23" si="8">J21+J22</f>
        <v>78840</v>
      </c>
      <c r="K23" s="106"/>
      <c r="L23" s="105">
        <f t="shared" ref="L23" si="9">L21+L22</f>
        <v>71560</v>
      </c>
      <c r="M23" s="106"/>
      <c r="N23" s="105">
        <f t="shared" ref="N23" si="10">N21+N22</f>
        <v>57936</v>
      </c>
      <c r="O23" s="106"/>
      <c r="P23" s="105">
        <f t="shared" ref="P23" si="11">P21+P22</f>
        <v>72640</v>
      </c>
      <c r="Q23" s="106"/>
      <c r="R23" s="105">
        <f t="shared" ref="R23" si="12">R21+R22</f>
        <v>146826</v>
      </c>
      <c r="S23" s="106"/>
      <c r="T23" s="105">
        <f t="shared" ref="T23" si="13">T21+T22</f>
        <v>78680</v>
      </c>
      <c r="U23" s="106"/>
      <c r="V23" s="105">
        <f t="shared" ref="V23" si="14">V21+V22</f>
        <v>123186</v>
      </c>
      <c r="W23" s="106"/>
      <c r="X23" s="105">
        <f t="shared" ref="X23" si="15">X21+X22</f>
        <v>138950</v>
      </c>
      <c r="Y23" s="106"/>
      <c r="Z23" s="105">
        <f t="shared" ref="Z23" si="16">Z21+Z22</f>
        <v>123524</v>
      </c>
      <c r="AA23" s="106"/>
      <c r="AB23" s="107">
        <f>D23+F23+H23+J23+L23+N23+P23+R23+T23+V23+X23+Z23</f>
        <v>1040854</v>
      </c>
      <c r="AC23" s="108"/>
    </row>
    <row r="24" spans="1:29" ht="24.75" customHeight="1">
      <c r="A24" s="109" t="s">
        <v>33</v>
      </c>
      <c r="B24" s="113" t="s">
        <v>34</v>
      </c>
      <c r="C24" s="114"/>
      <c r="D24" s="115">
        <f>D23*0.003</f>
        <v>168.05100000000002</v>
      </c>
      <c r="E24" s="116"/>
      <c r="F24" s="115">
        <f t="shared" ref="F24" si="17">F23*0.003</f>
        <v>111.58500000000001</v>
      </c>
      <c r="G24" s="116"/>
      <c r="H24" s="115">
        <f t="shared" ref="H24" si="18">H23*0.003</f>
        <v>166.5</v>
      </c>
      <c r="I24" s="116"/>
      <c r="J24" s="115">
        <f t="shared" ref="J24" si="19">J23*0.003</f>
        <v>236.52</v>
      </c>
      <c r="K24" s="116"/>
      <c r="L24" s="115">
        <f t="shared" ref="L24" si="20">L23*0.003</f>
        <v>214.68</v>
      </c>
      <c r="M24" s="116"/>
      <c r="N24" s="115">
        <f t="shared" ref="N24" si="21">N23*0.003</f>
        <v>173.80799999999999</v>
      </c>
      <c r="O24" s="116"/>
      <c r="P24" s="115">
        <f t="shared" ref="P24" si="22">P23*0.003</f>
        <v>217.92000000000002</v>
      </c>
      <c r="Q24" s="116"/>
      <c r="R24" s="115">
        <f t="shared" ref="R24" si="23">R23*0.003</f>
        <v>440.47800000000001</v>
      </c>
      <c r="S24" s="116"/>
      <c r="T24" s="115">
        <f t="shared" ref="T24" si="24">T23*0.003</f>
        <v>236.04</v>
      </c>
      <c r="U24" s="116"/>
      <c r="V24" s="115">
        <f t="shared" ref="V24" si="25">V23*0.003</f>
        <v>369.55799999999999</v>
      </c>
      <c r="W24" s="116"/>
      <c r="X24" s="115">
        <f t="shared" ref="X24" si="26">X23*0.003</f>
        <v>416.85</v>
      </c>
      <c r="Y24" s="116"/>
      <c r="Z24" s="115">
        <f t="shared" ref="Z24" si="27">Z23*0.003</f>
        <v>370.572</v>
      </c>
      <c r="AA24" s="116"/>
      <c r="AB24" s="120"/>
      <c r="AC24" s="121"/>
    </row>
    <row r="25" spans="1:29" ht="24.75" customHeight="1">
      <c r="A25" s="110"/>
      <c r="B25" s="94" t="s">
        <v>35</v>
      </c>
      <c r="C25" s="95"/>
      <c r="D25" s="58">
        <v>0</v>
      </c>
      <c r="E25" s="59"/>
      <c r="F25" s="58">
        <v>0</v>
      </c>
      <c r="G25" s="59"/>
      <c r="H25" s="58">
        <v>0</v>
      </c>
      <c r="I25" s="59"/>
      <c r="J25" s="58">
        <v>0</v>
      </c>
      <c r="K25" s="59"/>
      <c r="L25" s="58">
        <v>0</v>
      </c>
      <c r="M25" s="59"/>
      <c r="N25" s="58">
        <v>0</v>
      </c>
      <c r="O25" s="59"/>
      <c r="P25" s="58">
        <v>0</v>
      </c>
      <c r="Q25" s="59"/>
      <c r="R25" s="58">
        <v>2800</v>
      </c>
      <c r="S25" s="59"/>
      <c r="T25" s="58">
        <v>0</v>
      </c>
      <c r="U25" s="59"/>
      <c r="V25" s="58">
        <v>2000</v>
      </c>
      <c r="W25" s="59"/>
      <c r="X25" s="58">
        <v>2610</v>
      </c>
      <c r="Y25" s="59"/>
      <c r="Z25" s="58">
        <v>2050</v>
      </c>
      <c r="AA25" s="59"/>
      <c r="AB25" s="78"/>
      <c r="AC25" s="79"/>
    </row>
    <row r="26" spans="1:29" ht="24.75" customHeight="1">
      <c r="A26" s="110"/>
      <c r="B26" s="94" t="s">
        <v>47</v>
      </c>
      <c r="C26" s="95"/>
      <c r="D26" s="58">
        <v>1000</v>
      </c>
      <c r="E26" s="59"/>
      <c r="F26" s="58">
        <v>1000</v>
      </c>
      <c r="G26" s="59"/>
      <c r="H26" s="58">
        <v>1500</v>
      </c>
      <c r="I26" s="59"/>
      <c r="J26" s="58">
        <v>1500</v>
      </c>
      <c r="K26" s="59"/>
      <c r="L26" s="58">
        <v>1500</v>
      </c>
      <c r="M26" s="59"/>
      <c r="N26" s="58">
        <v>1500</v>
      </c>
      <c r="O26" s="59"/>
      <c r="P26" s="58">
        <v>1500</v>
      </c>
      <c r="Q26" s="59"/>
      <c r="R26" s="58">
        <v>1500</v>
      </c>
      <c r="S26" s="59"/>
      <c r="T26" s="58">
        <v>1500</v>
      </c>
      <c r="U26" s="59"/>
      <c r="V26" s="58">
        <v>1500</v>
      </c>
      <c r="W26" s="59"/>
      <c r="X26" s="58">
        <v>1500</v>
      </c>
      <c r="Y26" s="59"/>
      <c r="Z26" s="58">
        <v>1500</v>
      </c>
      <c r="AA26" s="59"/>
      <c r="AB26" s="78"/>
      <c r="AC26" s="79"/>
    </row>
    <row r="27" spans="1:29" ht="24.75" customHeight="1">
      <c r="A27" s="111"/>
      <c r="B27" s="94" t="s">
        <v>48</v>
      </c>
      <c r="C27" s="95"/>
      <c r="D27" s="83">
        <v>0</v>
      </c>
      <c r="E27" s="84"/>
      <c r="F27" s="83">
        <v>0</v>
      </c>
      <c r="G27" s="84"/>
      <c r="H27" s="83">
        <v>0</v>
      </c>
      <c r="I27" s="84"/>
      <c r="J27" s="83">
        <v>0</v>
      </c>
      <c r="K27" s="84"/>
      <c r="L27" s="83">
        <v>0</v>
      </c>
      <c r="M27" s="84"/>
      <c r="N27" s="83">
        <v>0</v>
      </c>
      <c r="O27" s="84"/>
      <c r="P27" s="83">
        <v>0</v>
      </c>
      <c r="Q27" s="84"/>
      <c r="R27" s="83">
        <v>0</v>
      </c>
      <c r="S27" s="84"/>
      <c r="T27" s="83">
        <v>0</v>
      </c>
      <c r="U27" s="84"/>
      <c r="V27" s="83">
        <v>0</v>
      </c>
      <c r="W27" s="84"/>
      <c r="X27" s="83">
        <v>0</v>
      </c>
      <c r="Y27" s="84"/>
      <c r="Z27" s="83">
        <v>0</v>
      </c>
      <c r="AA27" s="84"/>
      <c r="AB27" s="96"/>
      <c r="AC27" s="97"/>
    </row>
    <row r="28" spans="1:29" ht="24.75" customHeight="1" thickBot="1">
      <c r="A28" s="112"/>
      <c r="B28" s="124" t="s">
        <v>51</v>
      </c>
      <c r="C28" s="125"/>
      <c r="D28" s="101">
        <v>0</v>
      </c>
      <c r="E28" s="102"/>
      <c r="F28" s="101">
        <v>0</v>
      </c>
      <c r="G28" s="102"/>
      <c r="H28" s="101">
        <v>0</v>
      </c>
      <c r="I28" s="102"/>
      <c r="J28" s="101">
        <v>0</v>
      </c>
      <c r="K28" s="102"/>
      <c r="L28" s="101">
        <v>0</v>
      </c>
      <c r="M28" s="102"/>
      <c r="N28" s="101">
        <v>0</v>
      </c>
      <c r="O28" s="102"/>
      <c r="P28" s="101">
        <v>0</v>
      </c>
      <c r="Q28" s="102"/>
      <c r="R28" s="101">
        <v>0</v>
      </c>
      <c r="S28" s="102"/>
      <c r="T28" s="101">
        <v>10000</v>
      </c>
      <c r="U28" s="102"/>
      <c r="V28" s="101">
        <v>0</v>
      </c>
      <c r="W28" s="102"/>
      <c r="X28" s="101">
        <v>0</v>
      </c>
      <c r="Y28" s="102"/>
      <c r="Z28" s="101">
        <v>0</v>
      </c>
      <c r="AA28" s="102"/>
      <c r="AB28" s="122"/>
      <c r="AC28" s="123"/>
    </row>
    <row r="29" spans="1:29" ht="24.75" customHeight="1" thickBot="1">
      <c r="A29" s="71" t="s">
        <v>36</v>
      </c>
      <c r="B29" s="72"/>
      <c r="C29" s="73"/>
      <c r="D29" s="83">
        <f>SUM(D24:D28)</f>
        <v>1168.0509999999999</v>
      </c>
      <c r="E29" s="84"/>
      <c r="F29" s="83">
        <f t="shared" ref="F29" si="28">SUM(F24:F28)</f>
        <v>1111.585</v>
      </c>
      <c r="G29" s="84"/>
      <c r="H29" s="83">
        <f t="shared" ref="H29" si="29">SUM(H24:H28)</f>
        <v>1666.5</v>
      </c>
      <c r="I29" s="84"/>
      <c r="J29" s="83">
        <f t="shared" ref="J29" si="30">SUM(J24:J28)</f>
        <v>1736.52</v>
      </c>
      <c r="K29" s="84"/>
      <c r="L29" s="83">
        <f t="shared" ref="L29" si="31">SUM(L24:L28)</f>
        <v>1714.68</v>
      </c>
      <c r="M29" s="84"/>
      <c r="N29" s="83">
        <f t="shared" ref="N29" si="32">SUM(N24:N28)</f>
        <v>1673.808</v>
      </c>
      <c r="O29" s="84"/>
      <c r="P29" s="83">
        <f t="shared" ref="P29" si="33">SUM(P24:P28)</f>
        <v>1717.92</v>
      </c>
      <c r="Q29" s="84"/>
      <c r="R29" s="83">
        <f t="shared" ref="R29" si="34">SUM(R24:R28)</f>
        <v>4740.4780000000001</v>
      </c>
      <c r="S29" s="84"/>
      <c r="T29" s="83">
        <f t="shared" ref="T29" si="35">SUM(T24:T28)</f>
        <v>11736.04</v>
      </c>
      <c r="U29" s="84"/>
      <c r="V29" s="83">
        <f t="shared" ref="V29" si="36">SUM(V24:V28)</f>
        <v>3869.558</v>
      </c>
      <c r="W29" s="84"/>
      <c r="X29" s="83">
        <f t="shared" ref="X29" si="37">SUM(X24:X28)</f>
        <v>4526.8500000000004</v>
      </c>
      <c r="Y29" s="84"/>
      <c r="Z29" s="83">
        <f t="shared" ref="Z29" si="38">SUM(Z24:Z28)</f>
        <v>3920.5720000000001</v>
      </c>
      <c r="AA29" s="131"/>
      <c r="AB29" s="96"/>
      <c r="AC29" s="97"/>
    </row>
    <row r="30" spans="1:29" ht="24.75" customHeight="1" thickTop="1" thickBot="1">
      <c r="A30" s="132" t="s">
        <v>37</v>
      </c>
      <c r="B30" s="133"/>
      <c r="C30" s="134"/>
      <c r="D30" s="126">
        <f>D23-D29</f>
        <v>54848.949000000001</v>
      </c>
      <c r="E30" s="127"/>
      <c r="F30" s="126">
        <f>F23-F29</f>
        <v>36083.415000000001</v>
      </c>
      <c r="G30" s="127"/>
      <c r="H30" s="126">
        <f>H23-H29</f>
        <v>53833.5</v>
      </c>
      <c r="I30" s="127"/>
      <c r="J30" s="126">
        <f>J23-J29</f>
        <v>77103.48</v>
      </c>
      <c r="K30" s="127"/>
      <c r="L30" s="126">
        <f>L23-L29</f>
        <v>69845.320000000007</v>
      </c>
      <c r="M30" s="127"/>
      <c r="N30" s="126">
        <f>N23-N29</f>
        <v>56262.192000000003</v>
      </c>
      <c r="O30" s="127"/>
      <c r="P30" s="126">
        <f>P23-P29</f>
        <v>70922.080000000002</v>
      </c>
      <c r="Q30" s="127"/>
      <c r="R30" s="126">
        <f>R23-R29</f>
        <v>142085.522</v>
      </c>
      <c r="S30" s="127"/>
      <c r="T30" s="126">
        <f>T23-T29</f>
        <v>66943.959999999992</v>
      </c>
      <c r="U30" s="127"/>
      <c r="V30" s="126">
        <f>V23-V29</f>
        <v>119316.442</v>
      </c>
      <c r="W30" s="127"/>
      <c r="X30" s="126">
        <f>X21-X29</f>
        <v>134423.15</v>
      </c>
      <c r="Y30" s="127"/>
      <c r="Z30" s="126">
        <f>Z23-Z29</f>
        <v>119603.428</v>
      </c>
      <c r="AA30" s="128"/>
      <c r="AB30" s="129">
        <f>D30+F30+H30+J30+L30+N30+P30+R30+T30+V30+X30+Z30</f>
        <v>1001271.438</v>
      </c>
      <c r="AC30" s="130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D18:E18"/>
    <mergeCell ref="D19:E19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T28:U28"/>
    <mergeCell ref="V28:W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D978-753A-449F-97A8-4CC6D542423A}">
  <sheetPr codeName="Sheet11">
    <tabColor theme="5"/>
  </sheetPr>
  <dimension ref="A1:AF30"/>
  <sheetViews>
    <sheetView workbookViewId="0">
      <selection activeCell="A3" sqref="A3:D3"/>
    </sheetView>
  </sheetViews>
  <sheetFormatPr defaultColWidth="5.625" defaultRowHeight="15"/>
  <cols>
    <col min="1" max="29" width="5.5" style="1" customWidth="1"/>
    <col min="30" max="31" width="5.625" style="1"/>
    <col min="32" max="32" width="6.75" style="1" bestFit="1" customWidth="1"/>
    <col min="33" max="16384" width="5.625" style="1"/>
  </cols>
  <sheetData>
    <row r="1" spans="1:32">
      <c r="A1" s="37" t="s">
        <v>128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32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32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32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61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32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2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32" ht="24.75" customHeight="1">
      <c r="A7" s="65" t="s">
        <v>40</v>
      </c>
      <c r="B7" s="66"/>
      <c r="C7" s="67"/>
      <c r="D7" s="3">
        <v>7</v>
      </c>
      <c r="E7" s="4" t="s">
        <v>21</v>
      </c>
      <c r="F7" s="3">
        <v>11</v>
      </c>
      <c r="G7" s="4" t="s">
        <v>21</v>
      </c>
      <c r="H7" s="3">
        <v>7</v>
      </c>
      <c r="I7" s="4" t="s">
        <v>21</v>
      </c>
      <c r="J7" s="3">
        <v>11</v>
      </c>
      <c r="K7" s="4" t="s">
        <v>21</v>
      </c>
      <c r="L7" s="3">
        <v>9</v>
      </c>
      <c r="M7" s="4" t="s">
        <v>21</v>
      </c>
      <c r="N7" s="3">
        <v>10</v>
      </c>
      <c r="O7" s="4" t="s">
        <v>21</v>
      </c>
      <c r="P7" s="3">
        <v>20</v>
      </c>
      <c r="Q7" s="4" t="s">
        <v>21</v>
      </c>
      <c r="R7" s="3">
        <v>14</v>
      </c>
      <c r="S7" s="4" t="s">
        <v>21</v>
      </c>
      <c r="T7" s="3">
        <v>9</v>
      </c>
      <c r="U7" s="4" t="s">
        <v>21</v>
      </c>
      <c r="V7" s="3">
        <v>13</v>
      </c>
      <c r="W7" s="4" t="s">
        <v>21</v>
      </c>
      <c r="X7" s="3">
        <v>11</v>
      </c>
      <c r="Y7" s="4" t="s">
        <v>21</v>
      </c>
      <c r="Z7" s="3">
        <v>14</v>
      </c>
      <c r="AA7" s="4" t="s">
        <v>21</v>
      </c>
      <c r="AB7" s="24"/>
      <c r="AC7" s="9" t="s">
        <v>21</v>
      </c>
    </row>
    <row r="8" spans="1:32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>
        <v>1</v>
      </c>
      <c r="O8" s="4" t="s">
        <v>21</v>
      </c>
      <c r="P8" s="3"/>
      <c r="Q8" s="4" t="s">
        <v>21</v>
      </c>
      <c r="R8" s="3">
        <v>1</v>
      </c>
      <c r="S8" s="4" t="s">
        <v>21</v>
      </c>
      <c r="T8" s="3"/>
      <c r="U8" s="4" t="s">
        <v>21</v>
      </c>
      <c r="V8" s="3"/>
      <c r="W8" s="4" t="s">
        <v>21</v>
      </c>
      <c r="X8" s="3">
        <v>5</v>
      </c>
      <c r="Y8" s="4" t="s">
        <v>21</v>
      </c>
      <c r="Z8" s="3"/>
      <c r="AA8" s="4" t="s">
        <v>21</v>
      </c>
      <c r="AB8" s="24"/>
      <c r="AC8" s="9" t="s">
        <v>22</v>
      </c>
    </row>
    <row r="9" spans="1:32" ht="24.75" customHeight="1">
      <c r="A9" s="65" t="s">
        <v>49</v>
      </c>
      <c r="B9" s="66"/>
      <c r="C9" s="67"/>
      <c r="D9" s="3"/>
      <c r="E9" s="4" t="s">
        <v>22</v>
      </c>
      <c r="F9" s="3">
        <v>3.5</v>
      </c>
      <c r="G9" s="4" t="s">
        <v>22</v>
      </c>
      <c r="H9" s="3"/>
      <c r="I9" s="4" t="s">
        <v>22</v>
      </c>
      <c r="J9" s="3">
        <v>1.5</v>
      </c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>
        <v>27</v>
      </c>
      <c r="U9" s="4" t="s">
        <v>22</v>
      </c>
      <c r="V9" s="3">
        <v>9</v>
      </c>
      <c r="W9" s="4" t="s">
        <v>22</v>
      </c>
      <c r="X9" s="3"/>
      <c r="Y9" s="4" t="s">
        <v>22</v>
      </c>
      <c r="Z9" s="3">
        <v>4</v>
      </c>
      <c r="AA9" s="4" t="s">
        <v>22</v>
      </c>
      <c r="AB9" s="24"/>
      <c r="AC9" s="9" t="s">
        <v>22</v>
      </c>
    </row>
    <row r="10" spans="1:32" ht="24.75" customHeight="1" thickBot="1">
      <c r="A10" s="65" t="s">
        <v>69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32" ht="24.75" customHeight="1" thickTop="1">
      <c r="A11" s="71" t="s">
        <v>26</v>
      </c>
      <c r="B11" s="72"/>
      <c r="C11" s="73"/>
      <c r="D11" s="74">
        <v>8000</v>
      </c>
      <c r="E11" s="75"/>
      <c r="F11" s="74">
        <v>8000</v>
      </c>
      <c r="G11" s="75"/>
      <c r="H11" s="74">
        <v>8000</v>
      </c>
      <c r="I11" s="75"/>
      <c r="J11" s="74">
        <v>8000</v>
      </c>
      <c r="K11" s="75"/>
      <c r="L11" s="74">
        <v>8000</v>
      </c>
      <c r="M11" s="75"/>
      <c r="N11" s="74">
        <v>8000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75"/>
      <c r="AB11" s="76"/>
      <c r="AC11" s="77"/>
    </row>
    <row r="12" spans="1:32" ht="24.75" customHeight="1">
      <c r="A12" s="65" t="s">
        <v>49</v>
      </c>
      <c r="B12" s="66"/>
      <c r="C12" s="67"/>
      <c r="D12" s="58">
        <v>1250</v>
      </c>
      <c r="E12" s="59"/>
      <c r="F12" s="58">
        <v>1250</v>
      </c>
      <c r="G12" s="59"/>
      <c r="H12" s="58">
        <v>1250</v>
      </c>
      <c r="I12" s="59"/>
      <c r="J12" s="58">
        <v>1250</v>
      </c>
      <c r="K12" s="59"/>
      <c r="L12" s="58">
        <v>1250</v>
      </c>
      <c r="M12" s="59"/>
      <c r="N12" s="58">
        <v>1250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59"/>
      <c r="AB12" s="78"/>
      <c r="AC12" s="79"/>
    </row>
    <row r="13" spans="1:32" ht="24.75" customHeight="1">
      <c r="A13" s="89" t="s">
        <v>27</v>
      </c>
      <c r="B13" s="90"/>
      <c r="C13" s="66"/>
      <c r="D13" s="58">
        <v>10000</v>
      </c>
      <c r="E13" s="59"/>
      <c r="F13" s="58">
        <v>10000</v>
      </c>
      <c r="G13" s="59"/>
      <c r="H13" s="58">
        <v>10000</v>
      </c>
      <c r="I13" s="59"/>
      <c r="J13" s="58">
        <v>10000</v>
      </c>
      <c r="K13" s="59"/>
      <c r="L13" s="58">
        <v>10000</v>
      </c>
      <c r="M13" s="59"/>
      <c r="N13" s="58">
        <v>10000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59"/>
      <c r="AB13" s="78"/>
      <c r="AC13" s="79"/>
    </row>
    <row r="14" spans="1:32" ht="24.75" customHeight="1" thickBot="1">
      <c r="A14" s="80" t="s">
        <v>50</v>
      </c>
      <c r="B14" s="81"/>
      <c r="C14" s="82"/>
      <c r="D14" s="85">
        <v>1562</v>
      </c>
      <c r="E14" s="86"/>
      <c r="F14" s="85">
        <v>1562</v>
      </c>
      <c r="G14" s="86"/>
      <c r="H14" s="85">
        <v>1562</v>
      </c>
      <c r="I14" s="86"/>
      <c r="J14" s="85">
        <v>1562</v>
      </c>
      <c r="K14" s="86"/>
      <c r="L14" s="85">
        <v>1562</v>
      </c>
      <c r="M14" s="86"/>
      <c r="N14" s="85">
        <v>1562</v>
      </c>
      <c r="O14" s="86"/>
      <c r="P14" s="85">
        <v>1562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86"/>
      <c r="AB14" s="87"/>
      <c r="AC14" s="88"/>
    </row>
    <row r="15" spans="1:32" ht="24.75" customHeight="1" thickTop="1">
      <c r="A15" s="91" t="s">
        <v>42</v>
      </c>
      <c r="B15" s="35" t="s">
        <v>110</v>
      </c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>
        <v>4000</v>
      </c>
      <c r="Q15" s="75"/>
      <c r="R15" s="74">
        <v>3000</v>
      </c>
      <c r="S15" s="75"/>
      <c r="T15" s="74">
        <v>1800</v>
      </c>
      <c r="U15" s="75"/>
      <c r="V15" s="74">
        <v>2600</v>
      </c>
      <c r="W15" s="75"/>
      <c r="X15" s="74">
        <v>3200</v>
      </c>
      <c r="Y15" s="75"/>
      <c r="Z15" s="74">
        <v>2800</v>
      </c>
      <c r="AA15" s="75"/>
      <c r="AB15" s="96"/>
      <c r="AC15" s="97"/>
    </row>
    <row r="16" spans="1:32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78"/>
      <c r="AC16" s="79"/>
      <c r="AF16" s="33">
        <f>F21-95453</f>
        <v>0</v>
      </c>
    </row>
    <row r="17" spans="1:32" ht="24.75" customHeight="1">
      <c r="A17" s="92"/>
      <c r="B17" s="16"/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78"/>
      <c r="AC17" s="79"/>
    </row>
    <row r="18" spans="1:32" ht="24.75" customHeight="1">
      <c r="A18" s="92"/>
      <c r="B18" s="94" t="s">
        <v>28</v>
      </c>
      <c r="C18" s="95"/>
      <c r="D18" s="58">
        <v>2040</v>
      </c>
      <c r="E18" s="59"/>
      <c r="F18" s="58">
        <v>2190</v>
      </c>
      <c r="G18" s="59"/>
      <c r="H18" s="58">
        <v>420</v>
      </c>
      <c r="I18" s="59"/>
      <c r="J18" s="58">
        <v>221</v>
      </c>
      <c r="K18" s="59"/>
      <c r="L18" s="58">
        <v>544</v>
      </c>
      <c r="M18" s="59"/>
      <c r="N18" s="58">
        <v>912</v>
      </c>
      <c r="O18" s="59"/>
      <c r="P18" s="58">
        <v>4624</v>
      </c>
      <c r="Q18" s="59"/>
      <c r="R18" s="58">
        <v>0</v>
      </c>
      <c r="S18" s="59"/>
      <c r="T18" s="58">
        <v>0</v>
      </c>
      <c r="U18" s="59"/>
      <c r="V18" s="58">
        <v>0</v>
      </c>
      <c r="W18" s="59"/>
      <c r="X18" s="58">
        <v>0</v>
      </c>
      <c r="Y18" s="59"/>
      <c r="Z18" s="58">
        <v>0</v>
      </c>
      <c r="AA18" s="59"/>
      <c r="AB18" s="78"/>
      <c r="AC18" s="79"/>
    </row>
    <row r="19" spans="1:32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78"/>
      <c r="AC19" s="79"/>
      <c r="AF19" s="33">
        <f>F20-112</f>
        <v>776</v>
      </c>
    </row>
    <row r="20" spans="1:32" ht="24.75" customHeight="1" thickBot="1">
      <c r="A20" s="93"/>
      <c r="B20" s="52" t="s">
        <v>30</v>
      </c>
      <c r="C20" s="48"/>
      <c r="D20" s="85"/>
      <c r="E20" s="86"/>
      <c r="F20" s="85">
        <v>888</v>
      </c>
      <c r="G20" s="86"/>
      <c r="H20" s="85"/>
      <c r="I20" s="86"/>
      <c r="J20" s="85"/>
      <c r="K20" s="86"/>
      <c r="L20" s="85">
        <v>1000</v>
      </c>
      <c r="M20" s="86"/>
      <c r="N20" s="85">
        <v>1600</v>
      </c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87"/>
      <c r="AC20" s="88"/>
    </row>
    <row r="21" spans="1:32" ht="24.75" customHeight="1" thickTop="1">
      <c r="A21" s="71" t="s">
        <v>31</v>
      </c>
      <c r="B21" s="72"/>
      <c r="C21" s="73"/>
      <c r="D21" s="74">
        <f>INT(D7*D11+D8*D13+D10*D12+D15+D16+D17+D18+D19+D20)</f>
        <v>58040</v>
      </c>
      <c r="E21" s="75"/>
      <c r="F21" s="74">
        <f>INT(F7*F11+F8*F13+F9*F12+F15+F16+F17+F18+F19+F20)</f>
        <v>95453</v>
      </c>
      <c r="G21" s="75"/>
      <c r="H21" s="74">
        <f t="shared" ref="H21" si="0">INT(H7*H11+H8*H13+H10*H12+H15+H16+H17+H18+H19+H20)</f>
        <v>56420</v>
      </c>
      <c r="I21" s="75"/>
      <c r="J21" s="74">
        <f>INT(J7*J11+J8*J13+J9*J12+J15+J16+J17+J18+J19+J20)</f>
        <v>90096</v>
      </c>
      <c r="K21" s="75"/>
      <c r="L21" s="74">
        <f t="shared" ref="L21" si="1">INT(L7*L11+L8*L13+L10*L12+L15+L16+L17+L18+L19+L20)</f>
        <v>73544</v>
      </c>
      <c r="M21" s="75"/>
      <c r="N21" s="74">
        <f>INT(N7*N11+N8*N13+N10*N12+N15+N16+N17+N18+N19+N20)</f>
        <v>92512</v>
      </c>
      <c r="O21" s="75"/>
      <c r="P21" s="74">
        <f t="shared" ref="P21" si="2">INT(P7*P11+P8*P13+P10*P12+P15+P16+P17+P18+P19+P20)</f>
        <v>168624</v>
      </c>
      <c r="Q21" s="75"/>
      <c r="R21" s="74">
        <f t="shared" ref="R21" si="3">INT(R7*R11+R8*R13+R10*R12+R15+R16+R17+R18+R19+R20)</f>
        <v>125000</v>
      </c>
      <c r="S21" s="75"/>
      <c r="T21" s="74">
        <f>INT(T7*T11+T8*T13+T9*T12+T15+T16+T17+T18+T19+T20)</f>
        <v>107550</v>
      </c>
      <c r="U21" s="75"/>
      <c r="V21" s="74">
        <f>INT(V7*V11+V8*V13+V9*V12+V15+V16+V17+V18+V19+V20)</f>
        <v>117850</v>
      </c>
      <c r="W21" s="75"/>
      <c r="X21" s="74">
        <f t="shared" ref="X21" si="4">INT(X7*X11+X8*X13+X10*X12+X15+X16+X17+X18+X19+X20)</f>
        <v>141200</v>
      </c>
      <c r="Y21" s="75"/>
      <c r="Z21" s="74">
        <f>INT(Z7*Z11+Z8*Z13+Z9*Z12+Z15+Z16+Z17+Z18+Z19+Z20)</f>
        <v>119800</v>
      </c>
      <c r="AA21" s="75"/>
      <c r="AB21" s="96"/>
      <c r="AC21" s="97"/>
    </row>
    <row r="22" spans="1:32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>
        <v>10000</v>
      </c>
      <c r="U22" s="102"/>
      <c r="V22" s="101"/>
      <c r="W22" s="102"/>
      <c r="X22" s="101"/>
      <c r="Y22" s="102"/>
      <c r="Z22" s="101"/>
      <c r="AA22" s="102"/>
      <c r="AB22" s="103"/>
      <c r="AC22" s="104"/>
    </row>
    <row r="23" spans="1:32" ht="24.75" customHeight="1" thickBot="1">
      <c r="A23" s="117" t="s">
        <v>20</v>
      </c>
      <c r="B23" s="118"/>
      <c r="C23" s="119"/>
      <c r="D23" s="105">
        <f>D21+D22</f>
        <v>58040</v>
      </c>
      <c r="E23" s="106"/>
      <c r="F23" s="105">
        <f t="shared" ref="F23" si="5">F21+F22</f>
        <v>95453</v>
      </c>
      <c r="G23" s="106"/>
      <c r="H23" s="105">
        <f t="shared" ref="H23" si="6">H21+H22</f>
        <v>56420</v>
      </c>
      <c r="I23" s="106"/>
      <c r="J23" s="105">
        <f t="shared" ref="J23" si="7">J21+J22</f>
        <v>90096</v>
      </c>
      <c r="K23" s="106"/>
      <c r="L23" s="105">
        <f t="shared" ref="L23" si="8">L21+L22</f>
        <v>73544</v>
      </c>
      <c r="M23" s="106"/>
      <c r="N23" s="105">
        <f t="shared" ref="N23" si="9">N21+N22</f>
        <v>92512</v>
      </c>
      <c r="O23" s="106"/>
      <c r="P23" s="105">
        <f t="shared" ref="P23" si="10">P21+P22</f>
        <v>168624</v>
      </c>
      <c r="Q23" s="106"/>
      <c r="R23" s="105">
        <f t="shared" ref="R23" si="11">R21+R22</f>
        <v>125000</v>
      </c>
      <c r="S23" s="106"/>
      <c r="T23" s="105">
        <f t="shared" ref="T23" si="12">T21+T22</f>
        <v>117550</v>
      </c>
      <c r="U23" s="106"/>
      <c r="V23" s="105">
        <f t="shared" ref="V23" si="13">V21+V22</f>
        <v>117850</v>
      </c>
      <c r="W23" s="106"/>
      <c r="X23" s="105">
        <f t="shared" ref="X23" si="14">X21+X22</f>
        <v>141200</v>
      </c>
      <c r="Y23" s="106"/>
      <c r="Z23" s="105">
        <f t="shared" ref="Z23" si="15">Z21+Z22</f>
        <v>119800</v>
      </c>
      <c r="AA23" s="106"/>
      <c r="AB23" s="107"/>
      <c r="AC23" s="108"/>
    </row>
    <row r="24" spans="1:32" ht="24.75" customHeight="1">
      <c r="A24" s="109" t="s">
        <v>33</v>
      </c>
      <c r="B24" s="113" t="s">
        <v>34</v>
      </c>
      <c r="C24" s="114"/>
      <c r="D24" s="115">
        <f>D23*0.003</f>
        <v>174.12</v>
      </c>
      <c r="E24" s="116"/>
      <c r="F24" s="115">
        <f t="shared" ref="F24" si="16">F23*0.003</f>
        <v>286.35899999999998</v>
      </c>
      <c r="G24" s="116"/>
      <c r="H24" s="115">
        <f t="shared" ref="H24" si="17">H23*0.003</f>
        <v>169.26</v>
      </c>
      <c r="I24" s="116"/>
      <c r="J24" s="115">
        <f t="shared" ref="J24" si="18">J23*0.003</f>
        <v>270.28800000000001</v>
      </c>
      <c r="K24" s="116"/>
      <c r="L24" s="115">
        <f t="shared" ref="L24" si="19">L23*0.003</f>
        <v>220.63200000000001</v>
      </c>
      <c r="M24" s="116"/>
      <c r="N24" s="115">
        <f t="shared" ref="N24" si="20">N23*0.003</f>
        <v>277.536</v>
      </c>
      <c r="O24" s="116"/>
      <c r="P24" s="115">
        <f t="shared" ref="P24" si="21">P23*0.003</f>
        <v>505.87200000000001</v>
      </c>
      <c r="Q24" s="116"/>
      <c r="R24" s="115">
        <f t="shared" ref="R24" si="22">R23*0.003</f>
        <v>375</v>
      </c>
      <c r="S24" s="116"/>
      <c r="T24" s="115">
        <f t="shared" ref="T24" si="23">T23*0.003</f>
        <v>352.65000000000003</v>
      </c>
      <c r="U24" s="116"/>
      <c r="V24" s="115">
        <f t="shared" ref="V24" si="24">V23*0.003</f>
        <v>353.55</v>
      </c>
      <c r="W24" s="116"/>
      <c r="X24" s="115">
        <f t="shared" ref="X24" si="25">X23*0.003</f>
        <v>423.6</v>
      </c>
      <c r="Y24" s="116"/>
      <c r="Z24" s="115">
        <f t="shared" ref="Z24" si="26">Z23*0.003</f>
        <v>359.40000000000003</v>
      </c>
      <c r="AA24" s="116"/>
      <c r="AB24" s="120"/>
      <c r="AC24" s="121"/>
    </row>
    <row r="25" spans="1:32" ht="24.75" customHeight="1">
      <c r="A25" s="110"/>
      <c r="B25" s="94" t="s">
        <v>35</v>
      </c>
      <c r="C25" s="95"/>
      <c r="D25" s="58">
        <v>0</v>
      </c>
      <c r="E25" s="59"/>
      <c r="F25" s="58">
        <v>540</v>
      </c>
      <c r="G25" s="59"/>
      <c r="H25" s="58">
        <v>0</v>
      </c>
      <c r="I25" s="59"/>
      <c r="J25" s="58">
        <v>290</v>
      </c>
      <c r="K25" s="59"/>
      <c r="L25" s="58">
        <v>230</v>
      </c>
      <c r="M25" s="59"/>
      <c r="N25" s="58">
        <v>0</v>
      </c>
      <c r="O25" s="59"/>
      <c r="P25" s="58">
        <v>3700</v>
      </c>
      <c r="Q25" s="59"/>
      <c r="R25" s="58">
        <v>2680</v>
      </c>
      <c r="S25" s="59"/>
      <c r="T25" s="58">
        <v>2050</v>
      </c>
      <c r="U25" s="59"/>
      <c r="V25" s="58">
        <v>1850</v>
      </c>
      <c r="W25" s="59"/>
      <c r="X25" s="58">
        <v>2800</v>
      </c>
      <c r="Y25" s="59"/>
      <c r="Z25" s="58">
        <v>1850</v>
      </c>
      <c r="AA25" s="59"/>
      <c r="AB25" s="78"/>
      <c r="AC25" s="79"/>
    </row>
    <row r="26" spans="1:32" ht="24.75" customHeight="1">
      <c r="A26" s="110"/>
      <c r="B26" s="94" t="s">
        <v>47</v>
      </c>
      <c r="C26" s="95"/>
      <c r="D26" s="58">
        <v>4700</v>
      </c>
      <c r="E26" s="59"/>
      <c r="F26" s="58">
        <v>4700</v>
      </c>
      <c r="G26" s="59"/>
      <c r="H26" s="58">
        <v>4900</v>
      </c>
      <c r="I26" s="59"/>
      <c r="J26" s="58">
        <v>3900</v>
      </c>
      <c r="K26" s="59"/>
      <c r="L26" s="58">
        <v>3900</v>
      </c>
      <c r="M26" s="59"/>
      <c r="N26" s="58">
        <v>3900</v>
      </c>
      <c r="O26" s="59"/>
      <c r="P26" s="58">
        <v>3900</v>
      </c>
      <c r="Q26" s="59"/>
      <c r="R26" s="58">
        <v>3900</v>
      </c>
      <c r="S26" s="59"/>
      <c r="T26" s="58">
        <v>3900</v>
      </c>
      <c r="U26" s="59"/>
      <c r="V26" s="58">
        <v>3900</v>
      </c>
      <c r="W26" s="59"/>
      <c r="X26" s="58">
        <v>3900</v>
      </c>
      <c r="Y26" s="59"/>
      <c r="Z26" s="58">
        <v>3900</v>
      </c>
      <c r="AA26" s="59"/>
      <c r="AB26" s="78"/>
      <c r="AC26" s="79"/>
    </row>
    <row r="27" spans="1:32" ht="24.75" customHeight="1">
      <c r="A27" s="111"/>
      <c r="B27" s="94" t="s">
        <v>48</v>
      </c>
      <c r="C27" s="95"/>
      <c r="D27" s="83">
        <v>0</v>
      </c>
      <c r="E27" s="84"/>
      <c r="F27" s="83">
        <v>0</v>
      </c>
      <c r="G27" s="84"/>
      <c r="H27" s="83">
        <v>0</v>
      </c>
      <c r="I27" s="84"/>
      <c r="J27" s="83">
        <v>0</v>
      </c>
      <c r="K27" s="84"/>
      <c r="L27" s="83">
        <v>0</v>
      </c>
      <c r="M27" s="84"/>
      <c r="N27" s="83">
        <v>0</v>
      </c>
      <c r="O27" s="84"/>
      <c r="P27" s="83">
        <v>0</v>
      </c>
      <c r="Q27" s="84"/>
      <c r="R27" s="83">
        <v>0</v>
      </c>
      <c r="S27" s="84"/>
      <c r="T27" s="83">
        <v>0</v>
      </c>
      <c r="U27" s="84"/>
      <c r="V27" s="83">
        <v>0</v>
      </c>
      <c r="W27" s="84"/>
      <c r="X27" s="83">
        <v>0</v>
      </c>
      <c r="Y27" s="84"/>
      <c r="Z27" s="83">
        <v>0</v>
      </c>
      <c r="AA27" s="84"/>
      <c r="AB27" s="96"/>
      <c r="AC27" s="97"/>
    </row>
    <row r="28" spans="1:32" ht="24.75" customHeight="1" thickBot="1">
      <c r="A28" s="112"/>
      <c r="B28" s="124" t="s">
        <v>51</v>
      </c>
      <c r="C28" s="125"/>
      <c r="D28" s="101">
        <v>0</v>
      </c>
      <c r="E28" s="102"/>
      <c r="F28" s="101">
        <v>0</v>
      </c>
      <c r="G28" s="102"/>
      <c r="H28" s="101">
        <v>0</v>
      </c>
      <c r="I28" s="102"/>
      <c r="J28" s="101">
        <v>0</v>
      </c>
      <c r="K28" s="102"/>
      <c r="L28" s="101">
        <v>0</v>
      </c>
      <c r="M28" s="102"/>
      <c r="N28" s="101">
        <v>0</v>
      </c>
      <c r="O28" s="102"/>
      <c r="P28" s="101">
        <v>0</v>
      </c>
      <c r="Q28" s="102"/>
      <c r="R28" s="101">
        <v>0</v>
      </c>
      <c r="S28" s="102"/>
      <c r="T28" s="101">
        <v>10000</v>
      </c>
      <c r="U28" s="102"/>
      <c r="V28" s="101">
        <v>0</v>
      </c>
      <c r="W28" s="102"/>
      <c r="X28" s="101">
        <v>0</v>
      </c>
      <c r="Y28" s="102"/>
      <c r="Z28" s="101">
        <v>0</v>
      </c>
      <c r="AA28" s="102"/>
      <c r="AB28" s="122"/>
      <c r="AC28" s="123"/>
    </row>
    <row r="29" spans="1:32" ht="24.75" customHeight="1" thickBot="1">
      <c r="A29" s="71" t="s">
        <v>36</v>
      </c>
      <c r="B29" s="72"/>
      <c r="C29" s="73"/>
      <c r="D29" s="83">
        <f>SUM(D24:D28)</f>
        <v>4874.12</v>
      </c>
      <c r="E29" s="84"/>
      <c r="F29" s="83">
        <f t="shared" ref="F29" si="27">SUM(F24:F28)</f>
        <v>5526.3590000000004</v>
      </c>
      <c r="G29" s="84"/>
      <c r="H29" s="83">
        <f t="shared" ref="H29" si="28">SUM(H24:H28)</f>
        <v>5069.26</v>
      </c>
      <c r="I29" s="84"/>
      <c r="J29" s="83">
        <f t="shared" ref="J29" si="29">SUM(J24:J28)</f>
        <v>4460.2880000000005</v>
      </c>
      <c r="K29" s="84"/>
      <c r="L29" s="83">
        <f t="shared" ref="L29" si="30">SUM(L24:L28)</f>
        <v>4350.6319999999996</v>
      </c>
      <c r="M29" s="84"/>
      <c r="N29" s="83">
        <f t="shared" ref="N29" si="31">SUM(N24:N28)</f>
        <v>4177.5360000000001</v>
      </c>
      <c r="O29" s="84"/>
      <c r="P29" s="83">
        <f t="shared" ref="P29" si="32">SUM(P24:P28)</f>
        <v>8105.8720000000003</v>
      </c>
      <c r="Q29" s="84"/>
      <c r="R29" s="83">
        <f t="shared" ref="R29" si="33">SUM(R24:R28)</f>
        <v>6955</v>
      </c>
      <c r="S29" s="84"/>
      <c r="T29" s="83">
        <f t="shared" ref="T29" si="34">SUM(T24:T28)</f>
        <v>16302.65</v>
      </c>
      <c r="U29" s="84"/>
      <c r="V29" s="83">
        <f t="shared" ref="V29" si="35">SUM(V24:V28)</f>
        <v>6103.55</v>
      </c>
      <c r="W29" s="84"/>
      <c r="X29" s="83">
        <f t="shared" ref="X29" si="36">SUM(X24:X28)</f>
        <v>7123.6</v>
      </c>
      <c r="Y29" s="84"/>
      <c r="Z29" s="83">
        <f t="shared" ref="Z29" si="37">SUM(Z24:Z28)</f>
        <v>6109.4</v>
      </c>
      <c r="AA29" s="131"/>
      <c r="AB29" s="96"/>
      <c r="AC29" s="97"/>
    </row>
    <row r="30" spans="1:32" ht="24.75" customHeight="1" thickTop="1" thickBot="1">
      <c r="A30" s="132" t="s">
        <v>37</v>
      </c>
      <c r="B30" s="133"/>
      <c r="C30" s="134"/>
      <c r="D30" s="126">
        <f>D23-D29</f>
        <v>53165.88</v>
      </c>
      <c r="E30" s="127"/>
      <c r="F30" s="126">
        <f>F23-F29</f>
        <v>89926.641000000003</v>
      </c>
      <c r="G30" s="127"/>
      <c r="H30" s="126">
        <f>H23-H29</f>
        <v>51350.74</v>
      </c>
      <c r="I30" s="127"/>
      <c r="J30" s="126">
        <f>J23-J29</f>
        <v>85635.712</v>
      </c>
      <c r="K30" s="127"/>
      <c r="L30" s="126">
        <f>L23-L29</f>
        <v>69193.368000000002</v>
      </c>
      <c r="M30" s="127"/>
      <c r="N30" s="126">
        <f>N23-N29</f>
        <v>88334.464000000007</v>
      </c>
      <c r="O30" s="127"/>
      <c r="P30" s="126">
        <f>P23-P29</f>
        <v>160518.128</v>
      </c>
      <c r="Q30" s="127"/>
      <c r="R30" s="126">
        <f>R23-R29</f>
        <v>118045</v>
      </c>
      <c r="S30" s="127"/>
      <c r="T30" s="126">
        <f>T23-T29</f>
        <v>101247.35</v>
      </c>
      <c r="U30" s="127"/>
      <c r="V30" s="126">
        <f>V23-V29</f>
        <v>111746.45</v>
      </c>
      <c r="W30" s="127"/>
      <c r="X30" s="126">
        <f>X21-X29</f>
        <v>134076.4</v>
      </c>
      <c r="Y30" s="127"/>
      <c r="Z30" s="126">
        <f>Z23-Z29</f>
        <v>113690.6</v>
      </c>
      <c r="AA30" s="128"/>
      <c r="AB30" s="129"/>
      <c r="AC30" s="130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E3F2-25E1-4578-ACF7-EA821432EE3B}">
  <dimension ref="A1:AC30"/>
  <sheetViews>
    <sheetView topLeftCell="A4" workbookViewId="0">
      <selection activeCell="AE28" sqref="AE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71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>
        <v>25</v>
      </c>
      <c r="E7" s="4" t="s">
        <v>21</v>
      </c>
      <c r="F7" s="3">
        <v>25</v>
      </c>
      <c r="G7" s="4" t="s">
        <v>21</v>
      </c>
      <c r="H7" s="3">
        <v>25</v>
      </c>
      <c r="I7" s="4" t="s">
        <v>21</v>
      </c>
      <c r="J7" s="3">
        <v>25</v>
      </c>
      <c r="K7" s="4" t="s">
        <v>21</v>
      </c>
      <c r="L7" s="3">
        <v>25</v>
      </c>
      <c r="M7" s="4" t="s">
        <v>21</v>
      </c>
      <c r="N7" s="3">
        <v>25</v>
      </c>
      <c r="O7" s="4" t="s">
        <v>21</v>
      </c>
      <c r="P7" s="3">
        <v>25</v>
      </c>
      <c r="Q7" s="4" t="s">
        <v>21</v>
      </c>
      <c r="R7" s="3">
        <v>25</v>
      </c>
      <c r="S7" s="4" t="s">
        <v>21</v>
      </c>
      <c r="T7" s="3">
        <v>25</v>
      </c>
      <c r="U7" s="4" t="s">
        <v>21</v>
      </c>
      <c r="V7" s="3">
        <v>25</v>
      </c>
      <c r="W7" s="4" t="s">
        <v>21</v>
      </c>
      <c r="X7" s="3">
        <v>25</v>
      </c>
      <c r="Y7" s="4" t="s">
        <v>21</v>
      </c>
      <c r="Z7" s="3">
        <v>25</v>
      </c>
      <c r="AA7" s="4" t="s">
        <v>21</v>
      </c>
      <c r="AB7" s="24">
        <f>Z7+X7+V7+T7+R7+P7+N7+L7+J7+H7+F7+D7</f>
        <v>300</v>
      </c>
      <c r="AC7" s="9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23" t="s">
        <v>22</v>
      </c>
      <c r="AB9" s="24"/>
      <c r="AC9" s="9" t="s">
        <v>22</v>
      </c>
    </row>
    <row r="10" spans="1:29" ht="24.75" customHeight="1" thickBot="1">
      <c r="A10" s="80" t="s">
        <v>69</v>
      </c>
      <c r="B10" s="81"/>
      <c r="C10" s="8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23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>
        <v>200000</v>
      </c>
      <c r="E11" s="75"/>
      <c r="F11" s="74">
        <v>200000</v>
      </c>
      <c r="G11" s="75"/>
      <c r="H11" s="74">
        <v>200000</v>
      </c>
      <c r="I11" s="75"/>
      <c r="J11" s="74">
        <v>200000</v>
      </c>
      <c r="K11" s="75"/>
      <c r="L11" s="74">
        <v>200000</v>
      </c>
      <c r="M11" s="75"/>
      <c r="N11" s="74">
        <v>200000</v>
      </c>
      <c r="O11" s="75"/>
      <c r="P11" s="74">
        <v>200000</v>
      </c>
      <c r="Q11" s="75"/>
      <c r="R11" s="74">
        <v>200000</v>
      </c>
      <c r="S11" s="75"/>
      <c r="T11" s="74">
        <v>200000</v>
      </c>
      <c r="U11" s="75"/>
      <c r="V11" s="74">
        <v>200000</v>
      </c>
      <c r="W11" s="75"/>
      <c r="X11" s="74">
        <v>200000</v>
      </c>
      <c r="Y11" s="75"/>
      <c r="Z11" s="74">
        <v>200000</v>
      </c>
      <c r="AA11" s="75"/>
      <c r="AB11" s="76"/>
      <c r="AC11" s="77"/>
    </row>
    <row r="12" spans="1:29" ht="24.75" customHeight="1">
      <c r="A12" s="65" t="s">
        <v>49</v>
      </c>
      <c r="B12" s="66"/>
      <c r="C12" s="67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78"/>
      <c r="AC12" s="79"/>
    </row>
    <row r="13" spans="1:29" ht="24.75" customHeight="1">
      <c r="A13" s="89" t="s">
        <v>27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59"/>
      <c r="AB13" s="78"/>
      <c r="AC13" s="79"/>
    </row>
    <row r="14" spans="1:29" ht="24.75" customHeight="1" thickBot="1">
      <c r="A14" s="80" t="s">
        <v>50</v>
      </c>
      <c r="B14" s="81"/>
      <c r="C14" s="82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87"/>
      <c r="AC14" s="88"/>
    </row>
    <row r="15" spans="1:29" ht="24.75" customHeight="1" thickTop="1">
      <c r="A15" s="91" t="s">
        <v>42</v>
      </c>
      <c r="B15" s="28"/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76"/>
      <c r="AC15" s="77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78"/>
      <c r="AC16" s="79"/>
    </row>
    <row r="17" spans="1:29" ht="24.75" customHeight="1">
      <c r="A17" s="92"/>
      <c r="B17" s="16"/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78"/>
      <c r="AC17" s="79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78"/>
      <c r="AC18" s="79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78"/>
      <c r="AC19" s="79"/>
    </row>
    <row r="20" spans="1:29" ht="24.75" customHeight="1" thickBot="1">
      <c r="A20" s="93"/>
      <c r="B20" s="52" t="s">
        <v>30</v>
      </c>
      <c r="C20" s="48"/>
      <c r="D20" s="85"/>
      <c r="E20" s="86"/>
      <c r="F20" s="85"/>
      <c r="G20" s="86"/>
      <c r="H20" s="85"/>
      <c r="I20" s="86"/>
      <c r="J20" s="85"/>
      <c r="K20" s="86"/>
      <c r="L20" s="85"/>
      <c r="M20" s="86"/>
      <c r="N20" s="85"/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87"/>
      <c r="AC20" s="88"/>
    </row>
    <row r="21" spans="1:29" ht="24.75" customHeight="1" thickTop="1">
      <c r="A21" s="71" t="s">
        <v>31</v>
      </c>
      <c r="B21" s="72"/>
      <c r="C21" s="73"/>
      <c r="D21" s="83">
        <f>SUM(D11:D20)</f>
        <v>200000</v>
      </c>
      <c r="E21" s="84"/>
      <c r="F21" s="83">
        <f t="shared" ref="F21" si="0">SUM(F11:F20)</f>
        <v>200000</v>
      </c>
      <c r="G21" s="84"/>
      <c r="H21" s="83">
        <f t="shared" ref="H21" si="1">SUM(H11:H20)</f>
        <v>200000</v>
      </c>
      <c r="I21" s="84"/>
      <c r="J21" s="83">
        <f t="shared" ref="J21" si="2">SUM(J11:J20)</f>
        <v>200000</v>
      </c>
      <c r="K21" s="84"/>
      <c r="L21" s="83">
        <f t="shared" ref="L21" si="3">SUM(L11:L20)</f>
        <v>200000</v>
      </c>
      <c r="M21" s="84"/>
      <c r="N21" s="83">
        <f t="shared" ref="N21" si="4">SUM(N11:N20)</f>
        <v>200000</v>
      </c>
      <c r="O21" s="84"/>
      <c r="P21" s="83">
        <f t="shared" ref="P21" si="5">SUM(P11:P20)</f>
        <v>200000</v>
      </c>
      <c r="Q21" s="84"/>
      <c r="R21" s="83">
        <f t="shared" ref="R21" si="6">SUM(R11:R20)</f>
        <v>200000</v>
      </c>
      <c r="S21" s="84"/>
      <c r="T21" s="83">
        <f t="shared" ref="T21" si="7">SUM(T11:T20)</f>
        <v>200000</v>
      </c>
      <c r="U21" s="84"/>
      <c r="V21" s="83">
        <f t="shared" ref="V21" si="8">SUM(V11:V20)</f>
        <v>200000</v>
      </c>
      <c r="W21" s="84"/>
      <c r="X21" s="83">
        <f t="shared" ref="X21" si="9">SUM(X11:X20)</f>
        <v>200000</v>
      </c>
      <c r="Y21" s="84"/>
      <c r="Z21" s="83">
        <f t="shared" ref="Z21" si="10">SUM(Z11:Z20)</f>
        <v>200000</v>
      </c>
      <c r="AA21" s="84"/>
      <c r="AB21" s="96"/>
      <c r="AC21" s="97"/>
    </row>
    <row r="22" spans="1:29" ht="24.75" customHeight="1" thickBot="1">
      <c r="A22" s="98" t="s">
        <v>39</v>
      </c>
      <c r="B22" s="99"/>
      <c r="C22" s="100"/>
      <c r="D22" s="143"/>
      <c r="E22" s="144"/>
      <c r="F22" s="143"/>
      <c r="G22" s="144"/>
      <c r="H22" s="143"/>
      <c r="I22" s="144"/>
      <c r="J22" s="143"/>
      <c r="K22" s="144"/>
      <c r="L22" s="143"/>
      <c r="M22" s="144"/>
      <c r="N22" s="143"/>
      <c r="O22" s="144"/>
      <c r="P22" s="143"/>
      <c r="Q22" s="144"/>
      <c r="R22" s="143"/>
      <c r="S22" s="144"/>
      <c r="T22" s="143"/>
      <c r="U22" s="144"/>
      <c r="V22" s="143"/>
      <c r="W22" s="144"/>
      <c r="X22" s="143"/>
      <c r="Y22" s="144"/>
      <c r="Z22" s="143"/>
      <c r="AA22" s="144"/>
      <c r="AB22" s="103"/>
      <c r="AC22" s="104"/>
    </row>
    <row r="23" spans="1:29" ht="24.75" customHeight="1" thickBot="1">
      <c r="A23" s="117" t="s">
        <v>20</v>
      </c>
      <c r="B23" s="118"/>
      <c r="C23" s="119"/>
      <c r="D23" s="105">
        <f>D21+D22</f>
        <v>200000</v>
      </c>
      <c r="E23" s="106"/>
      <c r="F23" s="105">
        <f t="shared" ref="F23" si="11">F21+F22</f>
        <v>200000</v>
      </c>
      <c r="G23" s="106"/>
      <c r="H23" s="105">
        <f t="shared" ref="H23" si="12">H21+H22</f>
        <v>200000</v>
      </c>
      <c r="I23" s="106"/>
      <c r="J23" s="105">
        <f t="shared" ref="J23" si="13">J21+J22</f>
        <v>200000</v>
      </c>
      <c r="K23" s="106"/>
      <c r="L23" s="105">
        <f t="shared" ref="L23" si="14">L21+L22</f>
        <v>200000</v>
      </c>
      <c r="M23" s="106"/>
      <c r="N23" s="105">
        <f t="shared" ref="N23" si="15">N21+N22</f>
        <v>200000</v>
      </c>
      <c r="O23" s="106"/>
      <c r="P23" s="105">
        <f t="shared" ref="P23" si="16">P21+P22</f>
        <v>200000</v>
      </c>
      <c r="Q23" s="106"/>
      <c r="R23" s="105">
        <f t="shared" ref="R23" si="17">R21+R22</f>
        <v>200000</v>
      </c>
      <c r="S23" s="106"/>
      <c r="T23" s="105">
        <f t="shared" ref="T23" si="18">T21+T22</f>
        <v>200000</v>
      </c>
      <c r="U23" s="106"/>
      <c r="V23" s="105">
        <f t="shared" ref="V23" si="19">V21+V22</f>
        <v>200000</v>
      </c>
      <c r="W23" s="106"/>
      <c r="X23" s="105">
        <f t="shared" ref="X23" si="20">X21+X22</f>
        <v>200000</v>
      </c>
      <c r="Y23" s="106"/>
      <c r="Z23" s="105">
        <f t="shared" ref="Z23" si="21">Z21+Z22</f>
        <v>200000</v>
      </c>
      <c r="AA23" s="106"/>
      <c r="AB23" s="107"/>
      <c r="AC23" s="108"/>
    </row>
    <row r="24" spans="1:29" ht="24.75" customHeight="1">
      <c r="A24" s="109" t="s">
        <v>33</v>
      </c>
      <c r="B24" s="113" t="s">
        <v>34</v>
      </c>
      <c r="C24" s="114"/>
      <c r="D24" s="115">
        <f>D11*0.003</f>
        <v>600</v>
      </c>
      <c r="E24" s="116"/>
      <c r="F24" s="115">
        <f t="shared" ref="F24" si="22">F11*0.003</f>
        <v>600</v>
      </c>
      <c r="G24" s="116"/>
      <c r="H24" s="115">
        <f t="shared" ref="H24" si="23">H11*0.003</f>
        <v>600</v>
      </c>
      <c r="I24" s="116"/>
      <c r="J24" s="115">
        <f t="shared" ref="J24" si="24">J11*0.003</f>
        <v>600</v>
      </c>
      <c r="K24" s="116"/>
      <c r="L24" s="115">
        <f t="shared" ref="L24" si="25">L11*0.003</f>
        <v>600</v>
      </c>
      <c r="M24" s="116"/>
      <c r="N24" s="115">
        <f t="shared" ref="N24" si="26">N11*0.003</f>
        <v>600</v>
      </c>
      <c r="O24" s="116"/>
      <c r="P24" s="115">
        <f t="shared" ref="P24" si="27">P11*0.003</f>
        <v>600</v>
      </c>
      <c r="Q24" s="116"/>
      <c r="R24" s="115">
        <f t="shared" ref="R24" si="28">R11*0.003</f>
        <v>600</v>
      </c>
      <c r="S24" s="116"/>
      <c r="T24" s="115">
        <f t="shared" ref="T24" si="29">T11*0.003</f>
        <v>600</v>
      </c>
      <c r="U24" s="116"/>
      <c r="V24" s="115">
        <f t="shared" ref="V24" si="30">V11*0.003</f>
        <v>600</v>
      </c>
      <c r="W24" s="116"/>
      <c r="X24" s="115">
        <f t="shared" ref="X24" si="31">X11*0.003</f>
        <v>600</v>
      </c>
      <c r="Y24" s="116"/>
      <c r="Z24" s="115">
        <f t="shared" ref="Z24" si="32">Z11*0.003</f>
        <v>600</v>
      </c>
      <c r="AA24" s="116"/>
      <c r="AB24" s="120"/>
      <c r="AC24" s="121"/>
    </row>
    <row r="25" spans="1:29" ht="24.75" customHeight="1">
      <c r="A25" s="110"/>
      <c r="B25" s="94" t="s">
        <v>35</v>
      </c>
      <c r="C25" s="95"/>
      <c r="D25" s="58">
        <v>4140</v>
      </c>
      <c r="E25" s="59"/>
      <c r="F25" s="58">
        <v>4140</v>
      </c>
      <c r="G25" s="59"/>
      <c r="H25" s="58">
        <v>4140</v>
      </c>
      <c r="I25" s="59"/>
      <c r="J25" s="58">
        <v>4140</v>
      </c>
      <c r="K25" s="59"/>
      <c r="L25" s="58">
        <v>4140</v>
      </c>
      <c r="M25" s="59"/>
      <c r="N25" s="58">
        <v>4140</v>
      </c>
      <c r="O25" s="59"/>
      <c r="P25" s="58">
        <v>4140</v>
      </c>
      <c r="Q25" s="59"/>
      <c r="R25" s="58">
        <v>4140</v>
      </c>
      <c r="S25" s="59"/>
      <c r="T25" s="58">
        <v>4140</v>
      </c>
      <c r="U25" s="59"/>
      <c r="V25" s="58">
        <v>4140</v>
      </c>
      <c r="W25" s="59"/>
      <c r="X25" s="58">
        <v>4140</v>
      </c>
      <c r="Y25" s="59"/>
      <c r="Z25" s="58">
        <v>4140</v>
      </c>
      <c r="AA25" s="59"/>
      <c r="AB25" s="78"/>
      <c r="AC25" s="79"/>
    </row>
    <row r="26" spans="1:29" ht="24.75" customHeight="1">
      <c r="A26" s="110"/>
      <c r="B26" s="94" t="s">
        <v>47</v>
      </c>
      <c r="C26" s="95"/>
      <c r="D26" s="58"/>
      <c r="E26" s="59"/>
      <c r="F26" s="58"/>
      <c r="G26" s="59"/>
      <c r="H26" s="58"/>
      <c r="I26" s="59"/>
      <c r="J26" s="58"/>
      <c r="K26" s="59"/>
      <c r="L26" s="58"/>
      <c r="M26" s="59"/>
      <c r="N26" s="58"/>
      <c r="O26" s="59"/>
      <c r="P26" s="58"/>
      <c r="Q26" s="59"/>
      <c r="R26" s="58"/>
      <c r="S26" s="59"/>
      <c r="T26" s="58"/>
      <c r="U26" s="59"/>
      <c r="V26" s="58"/>
      <c r="W26" s="59"/>
      <c r="X26" s="58"/>
      <c r="Y26" s="59"/>
      <c r="Z26" s="58"/>
      <c r="AA26" s="149"/>
      <c r="AB26" s="78"/>
      <c r="AC26" s="79"/>
    </row>
    <row r="27" spans="1:29" ht="24.75" customHeight="1">
      <c r="A27" s="111"/>
      <c r="B27" s="94" t="s">
        <v>48</v>
      </c>
      <c r="C27" s="95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  <c r="R27" s="83"/>
      <c r="S27" s="84"/>
      <c r="T27" s="83"/>
      <c r="U27" s="84"/>
      <c r="V27" s="83"/>
      <c r="W27" s="84"/>
      <c r="X27" s="83"/>
      <c r="Y27" s="84"/>
      <c r="Z27" s="83"/>
      <c r="AA27" s="131"/>
      <c r="AB27" s="96"/>
      <c r="AC27" s="97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/>
      <c r="M28" s="102"/>
      <c r="N28" s="101"/>
      <c r="O28" s="102"/>
      <c r="P28" s="101"/>
      <c r="Q28" s="102"/>
      <c r="R28" s="101"/>
      <c r="S28" s="102"/>
      <c r="T28" s="101"/>
      <c r="U28" s="102"/>
      <c r="V28" s="101"/>
      <c r="W28" s="102"/>
      <c r="X28" s="101"/>
      <c r="Y28" s="102"/>
      <c r="Z28" s="101"/>
      <c r="AA28" s="154"/>
      <c r="AB28" s="122"/>
      <c r="AC28" s="123"/>
    </row>
    <row r="29" spans="1:29" ht="24.75" customHeight="1" thickBot="1">
      <c r="A29" s="71" t="s">
        <v>36</v>
      </c>
      <c r="B29" s="72"/>
      <c r="C29" s="73"/>
      <c r="D29" s="83">
        <f>SUM(D24:D28)</f>
        <v>4740</v>
      </c>
      <c r="E29" s="84"/>
      <c r="F29" s="83">
        <f t="shared" ref="F29" si="33">SUM(F24:F28)</f>
        <v>4740</v>
      </c>
      <c r="G29" s="84"/>
      <c r="H29" s="83">
        <f t="shared" ref="H29" si="34">SUM(H24:H28)</f>
        <v>4740</v>
      </c>
      <c r="I29" s="84"/>
      <c r="J29" s="83">
        <f t="shared" ref="J29" si="35">SUM(J24:J28)</f>
        <v>4740</v>
      </c>
      <c r="K29" s="84"/>
      <c r="L29" s="83">
        <f t="shared" ref="L29" si="36">SUM(L24:L28)</f>
        <v>4740</v>
      </c>
      <c r="M29" s="84"/>
      <c r="N29" s="83">
        <f t="shared" ref="N29" si="37">SUM(N24:N28)</f>
        <v>4740</v>
      </c>
      <c r="O29" s="84"/>
      <c r="P29" s="83">
        <f t="shared" ref="P29" si="38">SUM(P24:P28)</f>
        <v>4740</v>
      </c>
      <c r="Q29" s="84"/>
      <c r="R29" s="83">
        <f t="shared" ref="R29" si="39">SUM(R24:R28)</f>
        <v>4740</v>
      </c>
      <c r="S29" s="84"/>
      <c r="T29" s="83">
        <f t="shared" ref="T29" si="40">SUM(T24:T28)</f>
        <v>4740</v>
      </c>
      <c r="U29" s="84"/>
      <c r="V29" s="83">
        <f t="shared" ref="V29" si="41">SUM(V24:V28)</f>
        <v>4740</v>
      </c>
      <c r="W29" s="84"/>
      <c r="X29" s="83">
        <f t="shared" ref="X29" si="42">SUM(X24:X28)</f>
        <v>4740</v>
      </c>
      <c r="Y29" s="84"/>
      <c r="Z29" s="83">
        <f t="shared" ref="Z29" si="43">SUM(Z24:Z28)</f>
        <v>4740</v>
      </c>
      <c r="AA29" s="131"/>
      <c r="AB29" s="96"/>
      <c r="AC29" s="97"/>
    </row>
    <row r="30" spans="1:29" ht="24.75" customHeight="1" thickTop="1" thickBot="1">
      <c r="A30" s="132" t="s">
        <v>37</v>
      </c>
      <c r="B30" s="133"/>
      <c r="C30" s="134"/>
      <c r="D30" s="126">
        <f>D23-D29</f>
        <v>195260</v>
      </c>
      <c r="E30" s="127"/>
      <c r="F30" s="126">
        <f>F23-F29</f>
        <v>195260</v>
      </c>
      <c r="G30" s="127"/>
      <c r="H30" s="126">
        <f>H23-H29</f>
        <v>195260</v>
      </c>
      <c r="I30" s="127"/>
      <c r="J30" s="126">
        <f>J23-J29</f>
        <v>195260</v>
      </c>
      <c r="K30" s="127"/>
      <c r="L30" s="126">
        <f>L23-L29</f>
        <v>195260</v>
      </c>
      <c r="M30" s="127"/>
      <c r="N30" s="126">
        <f>N23-N29</f>
        <v>195260</v>
      </c>
      <c r="O30" s="127"/>
      <c r="P30" s="126">
        <f>P23-P29</f>
        <v>195260</v>
      </c>
      <c r="Q30" s="127"/>
      <c r="R30" s="126">
        <f>R23-R29</f>
        <v>195260</v>
      </c>
      <c r="S30" s="127"/>
      <c r="T30" s="126">
        <f>T23-T29</f>
        <v>195260</v>
      </c>
      <c r="U30" s="127"/>
      <c r="V30" s="126">
        <f>V23-V29</f>
        <v>195260</v>
      </c>
      <c r="W30" s="127"/>
      <c r="X30" s="126">
        <f>X21-X29</f>
        <v>195260</v>
      </c>
      <c r="Y30" s="127"/>
      <c r="Z30" s="126">
        <f>Z23-Z29</f>
        <v>195260</v>
      </c>
      <c r="AA30" s="128"/>
      <c r="AB30" s="129"/>
      <c r="AC30" s="130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CE1A5-301B-4BB1-AF00-BEF4758A2F95}">
  <sheetPr>
    <tabColor theme="5"/>
  </sheetPr>
  <dimension ref="A1:AC30"/>
  <sheetViews>
    <sheetView topLeftCell="A10" workbookViewId="0">
      <selection activeCell="Z32" sqref="Z3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111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>
        <v>1</v>
      </c>
      <c r="E7" s="4" t="s">
        <v>21</v>
      </c>
      <c r="F7" s="3">
        <v>1</v>
      </c>
      <c r="G7" s="4" t="s">
        <v>21</v>
      </c>
      <c r="H7" s="3">
        <v>1</v>
      </c>
      <c r="I7" s="4" t="s">
        <v>21</v>
      </c>
      <c r="J7" s="3">
        <v>3</v>
      </c>
      <c r="K7" s="4" t="s">
        <v>21</v>
      </c>
      <c r="L7" s="3">
        <v>1</v>
      </c>
      <c r="M7" s="4" t="s">
        <v>21</v>
      </c>
      <c r="N7" s="3">
        <v>1</v>
      </c>
      <c r="O7" s="4" t="s">
        <v>21</v>
      </c>
      <c r="P7" s="3">
        <v>1</v>
      </c>
      <c r="Q7" s="4" t="s">
        <v>21</v>
      </c>
      <c r="R7" s="3">
        <v>8</v>
      </c>
      <c r="S7" s="4" t="s">
        <v>21</v>
      </c>
      <c r="T7" s="3">
        <v>4</v>
      </c>
      <c r="U7" s="4" t="s">
        <v>21</v>
      </c>
      <c r="V7" s="3">
        <v>1</v>
      </c>
      <c r="W7" s="4" t="s">
        <v>21</v>
      </c>
      <c r="X7" s="3">
        <v>1</v>
      </c>
      <c r="Y7" s="4" t="s">
        <v>21</v>
      </c>
      <c r="Z7" s="3">
        <v>10</v>
      </c>
      <c r="AA7" s="23" t="s">
        <v>21</v>
      </c>
      <c r="AB7" s="24"/>
      <c r="AC7" s="9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23" t="s">
        <v>22</v>
      </c>
      <c r="AB9" s="24"/>
      <c r="AC9" s="9" t="s">
        <v>22</v>
      </c>
    </row>
    <row r="10" spans="1:29" ht="24.75" customHeight="1" thickBot="1">
      <c r="A10" s="80" t="s">
        <v>69</v>
      </c>
      <c r="B10" s="81"/>
      <c r="C10" s="82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23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>
        <v>10000</v>
      </c>
      <c r="E11" s="75"/>
      <c r="F11" s="74">
        <v>10000</v>
      </c>
      <c r="G11" s="75"/>
      <c r="H11" s="74">
        <v>10000</v>
      </c>
      <c r="I11" s="75"/>
      <c r="J11" s="74">
        <v>10000</v>
      </c>
      <c r="K11" s="75"/>
      <c r="L11" s="74">
        <v>10000</v>
      </c>
      <c r="M11" s="75"/>
      <c r="N11" s="74">
        <v>10000</v>
      </c>
      <c r="O11" s="75"/>
      <c r="P11" s="74">
        <v>10000</v>
      </c>
      <c r="Q11" s="75"/>
      <c r="R11" s="74">
        <v>10000</v>
      </c>
      <c r="S11" s="75"/>
      <c r="T11" s="74">
        <v>10000</v>
      </c>
      <c r="U11" s="75"/>
      <c r="V11" s="74">
        <v>10000</v>
      </c>
      <c r="W11" s="75"/>
      <c r="X11" s="74">
        <v>10000</v>
      </c>
      <c r="Y11" s="75"/>
      <c r="Z11" s="74">
        <v>10000</v>
      </c>
      <c r="AA11" s="75"/>
      <c r="AB11" s="76"/>
      <c r="AC11" s="77"/>
    </row>
    <row r="12" spans="1:29" ht="24.75" customHeight="1">
      <c r="A12" s="65" t="s">
        <v>49</v>
      </c>
      <c r="B12" s="66"/>
      <c r="C12" s="67"/>
      <c r="D12" s="58">
        <v>1562</v>
      </c>
      <c r="E12" s="59"/>
      <c r="F12" s="58">
        <v>1562</v>
      </c>
      <c r="G12" s="59"/>
      <c r="H12" s="58">
        <v>1562</v>
      </c>
      <c r="I12" s="59"/>
      <c r="J12" s="58">
        <v>1562</v>
      </c>
      <c r="K12" s="59"/>
      <c r="L12" s="58">
        <v>1562</v>
      </c>
      <c r="M12" s="59"/>
      <c r="N12" s="58">
        <v>1562</v>
      </c>
      <c r="O12" s="59"/>
      <c r="P12" s="58">
        <v>1562</v>
      </c>
      <c r="Q12" s="59"/>
      <c r="R12" s="58">
        <v>1562</v>
      </c>
      <c r="S12" s="59"/>
      <c r="T12" s="58">
        <v>1562</v>
      </c>
      <c r="U12" s="59"/>
      <c r="V12" s="58">
        <v>1562</v>
      </c>
      <c r="W12" s="59"/>
      <c r="X12" s="58">
        <v>1562</v>
      </c>
      <c r="Y12" s="59"/>
      <c r="Z12" s="58">
        <v>1562</v>
      </c>
      <c r="AA12" s="59"/>
      <c r="AB12" s="78"/>
      <c r="AC12" s="79"/>
    </row>
    <row r="13" spans="1:29" ht="24.75" customHeight="1">
      <c r="A13" s="89" t="s">
        <v>27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>
        <v>10250</v>
      </c>
      <c r="AA13" s="59"/>
      <c r="AB13" s="78"/>
      <c r="AC13" s="79"/>
    </row>
    <row r="14" spans="1:29" ht="24.75" customHeight="1" thickBot="1">
      <c r="A14" s="80" t="s">
        <v>50</v>
      </c>
      <c r="B14" s="81"/>
      <c r="C14" s="82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>
        <v>1601</v>
      </c>
      <c r="AA14" s="86"/>
      <c r="AB14" s="87"/>
      <c r="AC14" s="88"/>
    </row>
    <row r="15" spans="1:29" ht="24.75" customHeight="1" thickTop="1">
      <c r="A15" s="91" t="s">
        <v>42</v>
      </c>
      <c r="B15" s="28"/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76"/>
      <c r="AC15" s="77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78"/>
      <c r="AC16" s="79"/>
    </row>
    <row r="17" spans="1:29" ht="24.75" customHeight="1">
      <c r="A17" s="92"/>
      <c r="B17" s="16"/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78"/>
      <c r="AC17" s="79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>
        <v>10000</v>
      </c>
      <c r="S18" s="59"/>
      <c r="T18" s="58">
        <v>10000</v>
      </c>
      <c r="U18" s="59"/>
      <c r="V18" s="58">
        <v>5000</v>
      </c>
      <c r="W18" s="59"/>
      <c r="X18" s="58">
        <v>5000</v>
      </c>
      <c r="Y18" s="59"/>
      <c r="Z18" s="58">
        <v>10000</v>
      </c>
      <c r="AA18" s="59"/>
      <c r="AB18" s="78"/>
      <c r="AC18" s="79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78"/>
      <c r="AC19" s="79"/>
    </row>
    <row r="20" spans="1:29" ht="24.75" customHeight="1" thickBot="1">
      <c r="A20" s="93"/>
      <c r="B20" s="52" t="s">
        <v>30</v>
      </c>
      <c r="C20" s="48"/>
      <c r="D20" s="85">
        <v>8685</v>
      </c>
      <c r="E20" s="86"/>
      <c r="F20" s="85">
        <v>8685</v>
      </c>
      <c r="G20" s="86"/>
      <c r="H20" s="85">
        <v>8685</v>
      </c>
      <c r="I20" s="86"/>
      <c r="J20" s="85">
        <v>8685</v>
      </c>
      <c r="K20" s="86"/>
      <c r="L20" s="85">
        <v>8685</v>
      </c>
      <c r="M20" s="86"/>
      <c r="N20" s="85"/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87"/>
      <c r="AC20" s="88"/>
    </row>
    <row r="21" spans="1:29" ht="24.75" customHeight="1" thickTop="1">
      <c r="A21" s="71" t="s">
        <v>31</v>
      </c>
      <c r="B21" s="72"/>
      <c r="C21" s="73"/>
      <c r="D21" s="83">
        <f>INT(D7*D11+D8*D13+D9*D12+D10*D14+D15+D16+D17+D18+D19+D20)</f>
        <v>18685</v>
      </c>
      <c r="E21" s="84"/>
      <c r="F21" s="83">
        <f t="shared" ref="F21" si="0">INT(F7*F11+F8*F13+F9*F12+F10*F14+F15+F16+F17+F18+F19+F20)</f>
        <v>18685</v>
      </c>
      <c r="G21" s="84"/>
      <c r="H21" s="83">
        <f t="shared" ref="H21" si="1">INT(H7*H11+H8*H13+H9*H12+H10*H14+H15+H16+H17+H18+H19+H20)</f>
        <v>18685</v>
      </c>
      <c r="I21" s="84"/>
      <c r="J21" s="83">
        <f t="shared" ref="J21" si="2">INT(J7*J11+J8*J13+J9*J12+J10*J14+J15+J16+J17+J18+J19+J20)</f>
        <v>38685</v>
      </c>
      <c r="K21" s="84"/>
      <c r="L21" s="83">
        <f t="shared" ref="L21" si="3">INT(L7*L11+L8*L13+L9*L12+L10*L14+L15+L16+L17+L18+L19+L20)</f>
        <v>18685</v>
      </c>
      <c r="M21" s="84"/>
      <c r="N21" s="83">
        <f t="shared" ref="N21" si="4">INT(N7*N11+N8*N13+N9*N12+N10*N14+N15+N16+N17+N18+N19+N20)</f>
        <v>10000</v>
      </c>
      <c r="O21" s="84"/>
      <c r="P21" s="83">
        <f t="shared" ref="P21" si="5">INT(P7*P11+P8*P13+P9*P12+P10*P14+P15+P16+P17+P18+P19+P20)</f>
        <v>10000</v>
      </c>
      <c r="Q21" s="84"/>
      <c r="R21" s="83">
        <f t="shared" ref="R21" si="6">INT(R7*R11+R8*R13+R9*R12+R10*R14+R15+R16+R17+R18+R19+R20)</f>
        <v>90000</v>
      </c>
      <c r="S21" s="84"/>
      <c r="T21" s="83">
        <f t="shared" ref="T21" si="7">INT(T7*T11+T8*T13+T9*T12+T10*T14+T15+T16+T17+T18+T19+T20)</f>
        <v>50000</v>
      </c>
      <c r="U21" s="84"/>
      <c r="V21" s="83">
        <f t="shared" ref="V21" si="8">INT(V7*V11+V8*V13+V9*V12+V10*V14+V15+V16+V17+V18+V19+V20)</f>
        <v>15000</v>
      </c>
      <c r="W21" s="84"/>
      <c r="X21" s="83">
        <f t="shared" ref="X21" si="9">INT(X7*X11+X8*X13+X9*X12+X10*X14+X15+X16+X17+X18+X19+X20)</f>
        <v>15000</v>
      </c>
      <c r="Y21" s="84"/>
      <c r="Z21" s="83">
        <f t="shared" ref="Z21" si="10">INT(Z7*Z11+Z8*Z13+Z9*Z12+Z10*Z14+Z15+Z16+Z17+Z18+Z19+Z20)</f>
        <v>110000</v>
      </c>
      <c r="AA21" s="84"/>
      <c r="AB21" s="96"/>
      <c r="AC21" s="97"/>
    </row>
    <row r="22" spans="1:29" ht="24.75" customHeight="1" thickBot="1">
      <c r="A22" s="98" t="s">
        <v>39</v>
      </c>
      <c r="B22" s="99"/>
      <c r="C22" s="100"/>
      <c r="D22" s="143"/>
      <c r="E22" s="144"/>
      <c r="F22" s="143"/>
      <c r="G22" s="144"/>
      <c r="H22" s="143"/>
      <c r="I22" s="144"/>
      <c r="J22" s="143"/>
      <c r="K22" s="144"/>
      <c r="L22" s="143"/>
      <c r="M22" s="144"/>
      <c r="N22" s="143"/>
      <c r="O22" s="144"/>
      <c r="P22" s="143"/>
      <c r="Q22" s="144"/>
      <c r="R22" s="143"/>
      <c r="S22" s="144"/>
      <c r="T22" s="143">
        <v>30000</v>
      </c>
      <c r="U22" s="144"/>
      <c r="V22" s="143"/>
      <c r="W22" s="144"/>
      <c r="X22" s="143"/>
      <c r="Y22" s="144"/>
      <c r="Z22" s="143"/>
      <c r="AA22" s="144"/>
      <c r="AB22" s="103"/>
      <c r="AC22" s="104"/>
    </row>
    <row r="23" spans="1:29" ht="24.75" customHeight="1" thickBot="1">
      <c r="A23" s="117" t="s">
        <v>20</v>
      </c>
      <c r="B23" s="118"/>
      <c r="C23" s="119"/>
      <c r="D23" s="105">
        <f>D21+D22</f>
        <v>18685</v>
      </c>
      <c r="E23" s="106"/>
      <c r="F23" s="105">
        <f t="shared" ref="F23" si="11">F21+F22</f>
        <v>18685</v>
      </c>
      <c r="G23" s="106"/>
      <c r="H23" s="105">
        <f t="shared" ref="H23" si="12">H21+H22</f>
        <v>18685</v>
      </c>
      <c r="I23" s="106"/>
      <c r="J23" s="105">
        <f t="shared" ref="J23" si="13">J21+J22</f>
        <v>38685</v>
      </c>
      <c r="K23" s="106"/>
      <c r="L23" s="105">
        <f t="shared" ref="L23" si="14">L21+L22</f>
        <v>18685</v>
      </c>
      <c r="M23" s="106"/>
      <c r="N23" s="105">
        <f t="shared" ref="N23" si="15">N21+N22</f>
        <v>10000</v>
      </c>
      <c r="O23" s="106"/>
      <c r="P23" s="105">
        <f t="shared" ref="P23" si="16">P21+P22</f>
        <v>10000</v>
      </c>
      <c r="Q23" s="106"/>
      <c r="R23" s="105">
        <f t="shared" ref="R23" si="17">R21+R22</f>
        <v>90000</v>
      </c>
      <c r="S23" s="106"/>
      <c r="T23" s="105">
        <f t="shared" ref="T23" si="18">T21+T22</f>
        <v>80000</v>
      </c>
      <c r="U23" s="106"/>
      <c r="V23" s="105">
        <f t="shared" ref="V23" si="19">V21+V22</f>
        <v>15000</v>
      </c>
      <c r="W23" s="106"/>
      <c r="X23" s="105">
        <f t="shared" ref="X23" si="20">X21+X22</f>
        <v>15000</v>
      </c>
      <c r="Y23" s="106"/>
      <c r="Z23" s="105">
        <f t="shared" ref="Z23" si="21">Z21+Z22</f>
        <v>110000</v>
      </c>
      <c r="AA23" s="106"/>
      <c r="AB23" s="107"/>
      <c r="AC23" s="108"/>
    </row>
    <row r="24" spans="1:29" ht="24.75" customHeight="1">
      <c r="A24" s="109" t="s">
        <v>33</v>
      </c>
      <c r="B24" s="113" t="s">
        <v>34</v>
      </c>
      <c r="C24" s="114"/>
      <c r="D24" s="115">
        <v>0</v>
      </c>
      <c r="E24" s="116"/>
      <c r="F24" s="115">
        <v>0</v>
      </c>
      <c r="G24" s="116"/>
      <c r="H24" s="115">
        <v>0</v>
      </c>
      <c r="I24" s="116"/>
      <c r="J24" s="115">
        <v>0</v>
      </c>
      <c r="K24" s="116"/>
      <c r="L24" s="115">
        <v>0</v>
      </c>
      <c r="M24" s="116"/>
      <c r="N24" s="115">
        <v>0</v>
      </c>
      <c r="O24" s="116"/>
      <c r="P24" s="115">
        <v>0</v>
      </c>
      <c r="Q24" s="116"/>
      <c r="R24" s="115">
        <v>0</v>
      </c>
      <c r="S24" s="116"/>
      <c r="T24" s="115">
        <v>0</v>
      </c>
      <c r="U24" s="116"/>
      <c r="V24" s="115">
        <v>0</v>
      </c>
      <c r="W24" s="116"/>
      <c r="X24" s="115">
        <v>0</v>
      </c>
      <c r="Y24" s="116"/>
      <c r="Z24" s="115">
        <v>0</v>
      </c>
      <c r="AA24" s="116"/>
      <c r="AB24" s="120"/>
      <c r="AC24" s="121"/>
    </row>
    <row r="25" spans="1:29" ht="24.75" customHeight="1">
      <c r="A25" s="110"/>
      <c r="B25" s="94" t="s">
        <v>35</v>
      </c>
      <c r="C25" s="95"/>
      <c r="D25" s="58">
        <v>0</v>
      </c>
      <c r="E25" s="59"/>
      <c r="F25" s="58">
        <v>0</v>
      </c>
      <c r="G25" s="59"/>
      <c r="H25" s="58">
        <v>0</v>
      </c>
      <c r="I25" s="59"/>
      <c r="J25" s="58">
        <v>0</v>
      </c>
      <c r="K25" s="59"/>
      <c r="L25" s="58">
        <v>0</v>
      </c>
      <c r="M25" s="59"/>
      <c r="N25" s="58">
        <v>0</v>
      </c>
      <c r="O25" s="59"/>
      <c r="P25" s="58">
        <v>0</v>
      </c>
      <c r="Q25" s="59"/>
      <c r="R25" s="58">
        <v>0</v>
      </c>
      <c r="S25" s="59"/>
      <c r="T25" s="58">
        <v>0</v>
      </c>
      <c r="U25" s="59"/>
      <c r="V25" s="58">
        <v>0</v>
      </c>
      <c r="W25" s="59"/>
      <c r="X25" s="58">
        <v>0</v>
      </c>
      <c r="Y25" s="59"/>
      <c r="Z25" s="58">
        <v>0</v>
      </c>
      <c r="AA25" s="149"/>
      <c r="AB25" s="78"/>
      <c r="AC25" s="79"/>
    </row>
    <row r="26" spans="1:29" ht="24.75" customHeight="1">
      <c r="A26" s="110"/>
      <c r="B26" s="94" t="s">
        <v>47</v>
      </c>
      <c r="C26" s="95"/>
      <c r="D26" s="58">
        <v>0</v>
      </c>
      <c r="E26" s="59"/>
      <c r="F26" s="58">
        <v>0</v>
      </c>
      <c r="G26" s="59"/>
      <c r="H26" s="58">
        <v>5700</v>
      </c>
      <c r="I26" s="59"/>
      <c r="J26" s="58">
        <v>5300</v>
      </c>
      <c r="K26" s="59"/>
      <c r="L26" s="58">
        <v>5300</v>
      </c>
      <c r="M26" s="59"/>
      <c r="N26" s="58">
        <v>5300</v>
      </c>
      <c r="O26" s="59"/>
      <c r="P26" s="58">
        <v>5300</v>
      </c>
      <c r="Q26" s="59"/>
      <c r="R26" s="58">
        <v>5300</v>
      </c>
      <c r="S26" s="59"/>
      <c r="T26" s="58">
        <v>5300</v>
      </c>
      <c r="U26" s="59"/>
      <c r="V26" s="58">
        <v>5300</v>
      </c>
      <c r="W26" s="59"/>
      <c r="X26" s="58">
        <v>5300</v>
      </c>
      <c r="Y26" s="59"/>
      <c r="Z26" s="58">
        <v>5300</v>
      </c>
      <c r="AA26" s="149"/>
      <c r="AB26" s="78"/>
      <c r="AC26" s="79"/>
    </row>
    <row r="27" spans="1:29" ht="24.75" customHeight="1">
      <c r="A27" s="111"/>
      <c r="B27" s="94" t="s">
        <v>48</v>
      </c>
      <c r="C27" s="95"/>
      <c r="D27" s="83">
        <v>0</v>
      </c>
      <c r="E27" s="84"/>
      <c r="F27" s="83">
        <v>0</v>
      </c>
      <c r="G27" s="84"/>
      <c r="H27" s="83">
        <v>0</v>
      </c>
      <c r="I27" s="84"/>
      <c r="J27" s="83">
        <v>0</v>
      </c>
      <c r="K27" s="84"/>
      <c r="L27" s="83">
        <v>0</v>
      </c>
      <c r="M27" s="84"/>
      <c r="N27" s="83">
        <v>0</v>
      </c>
      <c r="O27" s="84"/>
      <c r="P27" s="83">
        <v>0</v>
      </c>
      <c r="Q27" s="84"/>
      <c r="R27" s="83">
        <v>0</v>
      </c>
      <c r="S27" s="84"/>
      <c r="T27" s="83">
        <v>0</v>
      </c>
      <c r="U27" s="84"/>
      <c r="V27" s="83">
        <v>0</v>
      </c>
      <c r="W27" s="84"/>
      <c r="X27" s="83">
        <v>0</v>
      </c>
      <c r="Y27" s="84"/>
      <c r="Z27" s="83">
        <v>0</v>
      </c>
      <c r="AA27" s="131"/>
      <c r="AB27" s="96"/>
      <c r="AC27" s="97"/>
    </row>
    <row r="28" spans="1:29" ht="24.75" customHeight="1" thickBot="1">
      <c r="A28" s="112"/>
      <c r="B28" s="124" t="s">
        <v>51</v>
      </c>
      <c r="C28" s="125"/>
      <c r="D28" s="101">
        <v>0</v>
      </c>
      <c r="E28" s="102"/>
      <c r="F28" s="101">
        <v>0</v>
      </c>
      <c r="G28" s="102"/>
      <c r="H28" s="101">
        <v>0</v>
      </c>
      <c r="I28" s="102"/>
      <c r="J28" s="101">
        <v>0</v>
      </c>
      <c r="K28" s="102"/>
      <c r="L28" s="101">
        <v>0</v>
      </c>
      <c r="M28" s="102"/>
      <c r="N28" s="101">
        <v>0</v>
      </c>
      <c r="O28" s="102"/>
      <c r="P28" s="101">
        <v>0</v>
      </c>
      <c r="Q28" s="102"/>
      <c r="R28" s="101">
        <v>0</v>
      </c>
      <c r="S28" s="102"/>
      <c r="T28" s="101">
        <v>30000</v>
      </c>
      <c r="U28" s="102"/>
      <c r="V28" s="101">
        <v>0</v>
      </c>
      <c r="W28" s="102"/>
      <c r="X28" s="101">
        <v>0</v>
      </c>
      <c r="Y28" s="102"/>
      <c r="Z28" s="101">
        <v>0</v>
      </c>
      <c r="AA28" s="154"/>
      <c r="AB28" s="122"/>
      <c r="AC28" s="123"/>
    </row>
    <row r="29" spans="1:29" ht="24.75" customHeight="1" thickBot="1">
      <c r="A29" s="71" t="s">
        <v>36</v>
      </c>
      <c r="B29" s="72"/>
      <c r="C29" s="73"/>
      <c r="D29" s="83">
        <f>SUM(D24:D28)</f>
        <v>0</v>
      </c>
      <c r="E29" s="84"/>
      <c r="F29" s="83">
        <f t="shared" ref="F29" si="22">SUM(F24:F28)</f>
        <v>0</v>
      </c>
      <c r="G29" s="84"/>
      <c r="H29" s="83">
        <f t="shared" ref="H29" si="23">SUM(H24:H28)</f>
        <v>5700</v>
      </c>
      <c r="I29" s="84"/>
      <c r="J29" s="83">
        <f t="shared" ref="J29" si="24">SUM(J24:J28)</f>
        <v>5300</v>
      </c>
      <c r="K29" s="84"/>
      <c r="L29" s="83">
        <f t="shared" ref="L29" si="25">SUM(L24:L28)</f>
        <v>5300</v>
      </c>
      <c r="M29" s="84"/>
      <c r="N29" s="83">
        <f t="shared" ref="N29" si="26">SUM(N24:N28)</f>
        <v>5300</v>
      </c>
      <c r="O29" s="84"/>
      <c r="P29" s="83">
        <f t="shared" ref="P29" si="27">SUM(P24:P28)</f>
        <v>5300</v>
      </c>
      <c r="Q29" s="84"/>
      <c r="R29" s="83">
        <f t="shared" ref="R29" si="28">SUM(R24:R28)</f>
        <v>5300</v>
      </c>
      <c r="S29" s="84"/>
      <c r="T29" s="83">
        <f t="shared" ref="T29" si="29">SUM(T24:T28)</f>
        <v>35300</v>
      </c>
      <c r="U29" s="84"/>
      <c r="V29" s="83">
        <f t="shared" ref="V29" si="30">SUM(V24:V28)</f>
        <v>5300</v>
      </c>
      <c r="W29" s="84"/>
      <c r="X29" s="83">
        <f t="shared" ref="X29" si="31">SUM(X24:X28)</f>
        <v>5300</v>
      </c>
      <c r="Y29" s="84"/>
      <c r="Z29" s="83">
        <f t="shared" ref="Z29" si="32">SUM(Z24:Z28)</f>
        <v>5300</v>
      </c>
      <c r="AA29" s="131"/>
      <c r="AB29" s="96">
        <f t="shared" ref="AB29" si="33">SUM(AB24:AB28)</f>
        <v>0</v>
      </c>
      <c r="AC29" s="97"/>
    </row>
    <row r="30" spans="1:29" ht="24.75" customHeight="1" thickTop="1" thickBot="1">
      <c r="A30" s="132" t="s">
        <v>37</v>
      </c>
      <c r="B30" s="133"/>
      <c r="C30" s="134"/>
      <c r="D30" s="126">
        <f>D23-D29</f>
        <v>18685</v>
      </c>
      <c r="E30" s="127"/>
      <c r="F30" s="126">
        <f>F23-F29</f>
        <v>18685</v>
      </c>
      <c r="G30" s="127"/>
      <c r="H30" s="126">
        <f>H23-H29</f>
        <v>12985</v>
      </c>
      <c r="I30" s="127"/>
      <c r="J30" s="126">
        <f>J23-J29</f>
        <v>33385</v>
      </c>
      <c r="K30" s="127"/>
      <c r="L30" s="126">
        <f>L23-L29</f>
        <v>13385</v>
      </c>
      <c r="M30" s="127"/>
      <c r="N30" s="126">
        <f>N23-N29</f>
        <v>4700</v>
      </c>
      <c r="O30" s="127"/>
      <c r="P30" s="126">
        <f>P23-P29</f>
        <v>4700</v>
      </c>
      <c r="Q30" s="127"/>
      <c r="R30" s="126">
        <f>R23-R29</f>
        <v>84700</v>
      </c>
      <c r="S30" s="127"/>
      <c r="T30" s="126">
        <f>T23-T29</f>
        <v>44700</v>
      </c>
      <c r="U30" s="127"/>
      <c r="V30" s="126">
        <f>V23-V29</f>
        <v>9700</v>
      </c>
      <c r="W30" s="127"/>
      <c r="X30" s="126">
        <f>X21-X29</f>
        <v>9700</v>
      </c>
      <c r="Y30" s="127"/>
      <c r="Z30" s="126">
        <f>Z23-Z29</f>
        <v>104700</v>
      </c>
      <c r="AA30" s="128"/>
      <c r="AB30" s="129"/>
      <c r="AC30" s="130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F2D9F-64BC-42AA-B32C-4CCB30C51B52}">
  <sheetPr codeName="Sheet13"/>
  <dimension ref="A1:AC30"/>
  <sheetViews>
    <sheetView workbookViewId="0">
      <selection activeCell="S4" sqref="S4:Y4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178" t="s">
        <v>84</v>
      </c>
      <c r="T4" s="179"/>
      <c r="U4" s="179"/>
      <c r="V4" s="179"/>
      <c r="W4" s="179"/>
      <c r="X4" s="179"/>
      <c r="Y4" s="180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23" t="s">
        <v>21</v>
      </c>
      <c r="AB7" s="24">
        <f>Z7+X7+V7+T7+R7+P7+N7+L7+J7+H7+F7+D7</f>
        <v>0</v>
      </c>
      <c r="AC7" s="9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/>
      <c r="E9" s="4" t="s">
        <v>72</v>
      </c>
      <c r="F9" s="3"/>
      <c r="G9" s="4" t="s">
        <v>72</v>
      </c>
      <c r="H9" s="3"/>
      <c r="I9" s="4" t="s">
        <v>72</v>
      </c>
      <c r="J9" s="3"/>
      <c r="K9" s="4" t="s">
        <v>72</v>
      </c>
      <c r="L9" s="3"/>
      <c r="M9" s="4" t="s">
        <v>72</v>
      </c>
      <c r="N9" s="3"/>
      <c r="O9" s="4" t="s">
        <v>72</v>
      </c>
      <c r="P9" s="3"/>
      <c r="Q9" s="4" t="s">
        <v>72</v>
      </c>
      <c r="R9" s="3"/>
      <c r="S9" s="4" t="s">
        <v>72</v>
      </c>
      <c r="T9" s="3"/>
      <c r="U9" s="4" t="s">
        <v>72</v>
      </c>
      <c r="V9" s="3"/>
      <c r="W9" s="4" t="s">
        <v>72</v>
      </c>
      <c r="X9" s="3"/>
      <c r="Y9" s="4" t="s">
        <v>72</v>
      </c>
      <c r="Z9" s="3"/>
      <c r="AA9" s="23" t="s">
        <v>72</v>
      </c>
      <c r="AB9" s="24"/>
      <c r="AC9" s="9" t="s">
        <v>22</v>
      </c>
    </row>
    <row r="10" spans="1:29" ht="24.75" customHeight="1" thickBot="1">
      <c r="A10" s="80" t="s">
        <v>69</v>
      </c>
      <c r="B10" s="81"/>
      <c r="C10" s="82"/>
      <c r="D10" s="3"/>
      <c r="E10" s="4" t="s">
        <v>72</v>
      </c>
      <c r="F10" s="3"/>
      <c r="G10" s="4" t="s">
        <v>72</v>
      </c>
      <c r="H10" s="3"/>
      <c r="I10" s="4" t="s">
        <v>72</v>
      </c>
      <c r="J10" s="3"/>
      <c r="K10" s="4" t="s">
        <v>72</v>
      </c>
      <c r="L10" s="3"/>
      <c r="M10" s="4" t="s">
        <v>72</v>
      </c>
      <c r="N10" s="3"/>
      <c r="O10" s="4" t="s">
        <v>72</v>
      </c>
      <c r="P10" s="3"/>
      <c r="Q10" s="4" t="s">
        <v>72</v>
      </c>
      <c r="R10" s="3"/>
      <c r="S10" s="4" t="s">
        <v>72</v>
      </c>
      <c r="T10" s="3"/>
      <c r="U10" s="4" t="s">
        <v>72</v>
      </c>
      <c r="V10" s="3"/>
      <c r="W10" s="4" t="s">
        <v>72</v>
      </c>
      <c r="X10" s="3"/>
      <c r="Y10" s="4" t="s">
        <v>72</v>
      </c>
      <c r="Z10" s="3"/>
      <c r="AA10" s="23" t="s">
        <v>72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>
        <v>7424</v>
      </c>
      <c r="E11" s="75"/>
      <c r="F11" s="74">
        <v>7424</v>
      </c>
      <c r="G11" s="75"/>
      <c r="H11" s="74">
        <v>7424</v>
      </c>
      <c r="I11" s="75"/>
      <c r="J11" s="74">
        <v>7424</v>
      </c>
      <c r="K11" s="75"/>
      <c r="L11" s="74">
        <v>7424</v>
      </c>
      <c r="M11" s="75"/>
      <c r="N11" s="74">
        <v>7424</v>
      </c>
      <c r="O11" s="75"/>
      <c r="P11" s="74">
        <v>7424</v>
      </c>
      <c r="Q11" s="75"/>
      <c r="R11" s="74">
        <v>7424</v>
      </c>
      <c r="S11" s="75"/>
      <c r="T11" s="74">
        <v>7424</v>
      </c>
      <c r="U11" s="75"/>
      <c r="V11" s="74">
        <v>7424</v>
      </c>
      <c r="W11" s="75"/>
      <c r="X11" s="74">
        <v>7424</v>
      </c>
      <c r="Y11" s="75"/>
      <c r="Z11" s="74">
        <v>7424</v>
      </c>
      <c r="AA11" s="75"/>
      <c r="AB11" s="76"/>
      <c r="AC11" s="77"/>
    </row>
    <row r="12" spans="1:29" ht="24.75" customHeight="1">
      <c r="A12" s="65" t="s">
        <v>49</v>
      </c>
      <c r="B12" s="66"/>
      <c r="C12" s="67"/>
      <c r="D12" s="58">
        <v>1160</v>
      </c>
      <c r="E12" s="59"/>
      <c r="F12" s="58">
        <v>1160</v>
      </c>
      <c r="G12" s="59"/>
      <c r="H12" s="58">
        <v>1160</v>
      </c>
      <c r="I12" s="59"/>
      <c r="J12" s="58">
        <v>1160</v>
      </c>
      <c r="K12" s="59"/>
      <c r="L12" s="58">
        <v>1160</v>
      </c>
      <c r="M12" s="59"/>
      <c r="N12" s="58">
        <v>1160</v>
      </c>
      <c r="O12" s="59"/>
      <c r="P12" s="58">
        <v>1160</v>
      </c>
      <c r="Q12" s="59"/>
      <c r="R12" s="58">
        <v>1160</v>
      </c>
      <c r="S12" s="59"/>
      <c r="T12" s="58">
        <v>1160</v>
      </c>
      <c r="U12" s="59"/>
      <c r="V12" s="58">
        <v>1160</v>
      </c>
      <c r="W12" s="59"/>
      <c r="X12" s="58">
        <v>1160</v>
      </c>
      <c r="Y12" s="59"/>
      <c r="Z12" s="58">
        <v>1160</v>
      </c>
      <c r="AA12" s="59"/>
      <c r="AB12" s="78"/>
      <c r="AC12" s="79"/>
    </row>
    <row r="13" spans="1:29" ht="24.75" customHeight="1">
      <c r="A13" s="89" t="s">
        <v>27</v>
      </c>
      <c r="B13" s="90"/>
      <c r="C13" s="66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59"/>
      <c r="AB13" s="78"/>
      <c r="AC13" s="79"/>
    </row>
    <row r="14" spans="1:29" ht="24.75" customHeight="1" thickBot="1">
      <c r="A14" s="80" t="s">
        <v>50</v>
      </c>
      <c r="B14" s="81"/>
      <c r="C14" s="82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87"/>
      <c r="AC14" s="88"/>
    </row>
    <row r="15" spans="1:29" ht="24.75" customHeight="1" thickTop="1">
      <c r="A15" s="91" t="s">
        <v>42</v>
      </c>
      <c r="B15" s="28"/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76"/>
      <c r="AC15" s="77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78"/>
      <c r="AC16" s="79"/>
    </row>
    <row r="17" spans="1:29" ht="24.75" customHeight="1">
      <c r="A17" s="92"/>
      <c r="B17" s="16"/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78"/>
      <c r="AC17" s="79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78"/>
      <c r="AC18" s="79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78"/>
      <c r="AC19" s="79"/>
    </row>
    <row r="20" spans="1:29" ht="24.75" customHeight="1" thickBot="1">
      <c r="A20" s="93"/>
      <c r="B20" s="52" t="s">
        <v>30</v>
      </c>
      <c r="C20" s="48"/>
      <c r="D20" s="85"/>
      <c r="E20" s="86"/>
      <c r="F20" s="85"/>
      <c r="G20" s="86"/>
      <c r="H20" s="85"/>
      <c r="I20" s="86"/>
      <c r="J20" s="85"/>
      <c r="K20" s="86"/>
      <c r="L20" s="85"/>
      <c r="M20" s="86"/>
      <c r="N20" s="85"/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87"/>
      <c r="AC20" s="88"/>
    </row>
    <row r="21" spans="1:29" ht="24.75" customHeight="1" thickTop="1">
      <c r="A21" s="71" t="s">
        <v>31</v>
      </c>
      <c r="B21" s="72"/>
      <c r="C21" s="73"/>
      <c r="D21" s="74">
        <f>INT(D7*D11+D8*D13+D10*D12+D15+D16+D17+D18+D19+D20)</f>
        <v>0</v>
      </c>
      <c r="E21" s="75"/>
      <c r="F21" s="74">
        <f t="shared" ref="F21" si="0">INT(F7*F11+F8*F13+F10*F12+F15+F16+F17+F18+F19+F20)</f>
        <v>0</v>
      </c>
      <c r="G21" s="75"/>
      <c r="H21" s="74">
        <f t="shared" ref="H21" si="1">INT(H7*H11+H8*H13+H10*H12+H15+H16+H17+H18+H19+H20)</f>
        <v>0</v>
      </c>
      <c r="I21" s="75"/>
      <c r="J21" s="74">
        <f t="shared" ref="J21" si="2">INT(J7*J11+J8*J13+J10*J12+J15+J16+J17+J18+J19+J20)</f>
        <v>0</v>
      </c>
      <c r="K21" s="75"/>
      <c r="L21" s="74">
        <f t="shared" ref="L21" si="3">INT(L7*L11+L8*L13+L10*L12+L15+L16+L17+L18+L19+L20)</f>
        <v>0</v>
      </c>
      <c r="M21" s="75"/>
      <c r="N21" s="74">
        <f t="shared" ref="N21" si="4">INT(N7*N11+N8*N13+N10*N12+N15+N16+N17+N18+N19+N20)</f>
        <v>0</v>
      </c>
      <c r="O21" s="75"/>
      <c r="P21" s="74">
        <f t="shared" ref="P21" si="5">INT(P7*P11+P8*P13+P10*P12+P15+P16+P17+P18+P19+P20)</f>
        <v>0</v>
      </c>
      <c r="Q21" s="75"/>
      <c r="R21" s="74">
        <f t="shared" ref="R21" si="6">INT(R7*R11+R8*R13+R10*R12+R15+R16+R17+R18+R19+R20)</f>
        <v>0</v>
      </c>
      <c r="S21" s="75"/>
      <c r="T21" s="74">
        <f t="shared" ref="T21" si="7">INT(T7*T11+T8*T13+T10*T12+T15+T16+T17+T18+T19+T20)</f>
        <v>0</v>
      </c>
      <c r="U21" s="75"/>
      <c r="V21" s="74">
        <f t="shared" ref="V21" si="8">INT(V7*V11+V8*V13+V10*V12+V15+V16+V17+V18+V19+V20)</f>
        <v>0</v>
      </c>
      <c r="W21" s="75"/>
      <c r="X21" s="74">
        <f t="shared" ref="X21" si="9">INT(X7*X11+X8*X13+X10*X12+X15+X16+X17+X18+X19+X20)</f>
        <v>0</v>
      </c>
      <c r="Y21" s="75"/>
      <c r="Z21" s="74">
        <f t="shared" ref="Z21" si="10">INT(Z7*Z11+Z8*Z13+Z10*Z12+Z15+Z16+Z17+Z18+Z19+Z20)</f>
        <v>0</v>
      </c>
      <c r="AA21" s="75"/>
      <c r="AB21" s="96">
        <f>D21+F21+H21+J21+L21+N21</f>
        <v>0</v>
      </c>
      <c r="AC21" s="97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03"/>
      <c r="AC22" s="104"/>
    </row>
    <row r="23" spans="1:29" ht="24.75" customHeight="1" thickBot="1">
      <c r="A23" s="117" t="s">
        <v>20</v>
      </c>
      <c r="B23" s="118"/>
      <c r="C23" s="119"/>
      <c r="D23" s="105">
        <f>D21+D22</f>
        <v>0</v>
      </c>
      <c r="E23" s="106"/>
      <c r="F23" s="105">
        <f t="shared" ref="F23" si="11">F21+F22</f>
        <v>0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07">
        <f>D23+F23+H23+J23+L23+N23</f>
        <v>0</v>
      </c>
      <c r="AC23" s="108"/>
    </row>
    <row r="24" spans="1:29" ht="24.75" customHeight="1">
      <c r="A24" s="109" t="s">
        <v>33</v>
      </c>
      <c r="B24" s="113" t="s">
        <v>34</v>
      </c>
      <c r="C24" s="114"/>
      <c r="D24" s="115">
        <f>D23*0.003</f>
        <v>0</v>
      </c>
      <c r="E24" s="116"/>
      <c r="F24" s="115">
        <f t="shared" ref="F24" si="22">F23*0.003</f>
        <v>0</v>
      </c>
      <c r="G24" s="116"/>
      <c r="H24" s="115">
        <f t="shared" ref="H24" si="23">H23*0.003</f>
        <v>0</v>
      </c>
      <c r="I24" s="116"/>
      <c r="J24" s="115">
        <f t="shared" ref="J24" si="24">J23*0.003</f>
        <v>0</v>
      </c>
      <c r="K24" s="116"/>
      <c r="L24" s="115">
        <f t="shared" ref="L24" si="25">L23*0.003</f>
        <v>0</v>
      </c>
      <c r="M24" s="116"/>
      <c r="N24" s="115">
        <f t="shared" ref="N24" si="26">N23*0.003</f>
        <v>0</v>
      </c>
      <c r="O24" s="116"/>
      <c r="P24" s="115">
        <f t="shared" ref="P24" si="27">P23*0.003</f>
        <v>0</v>
      </c>
      <c r="Q24" s="116"/>
      <c r="R24" s="115">
        <f t="shared" ref="R24" si="28">R23*0.003</f>
        <v>0</v>
      </c>
      <c r="S24" s="116"/>
      <c r="T24" s="115">
        <f t="shared" ref="T24" si="29">T23*0.003</f>
        <v>0</v>
      </c>
      <c r="U24" s="116"/>
      <c r="V24" s="115">
        <f t="shared" ref="V24" si="30">V23*0.003</f>
        <v>0</v>
      </c>
      <c r="W24" s="116"/>
      <c r="X24" s="115">
        <f t="shared" ref="X24" si="31">X23*0.003</f>
        <v>0</v>
      </c>
      <c r="Y24" s="116"/>
      <c r="Z24" s="115">
        <f t="shared" ref="Z24" si="32">Z23*0.003</f>
        <v>0</v>
      </c>
      <c r="AA24" s="116"/>
      <c r="AB24" s="120"/>
      <c r="AC24" s="121"/>
    </row>
    <row r="25" spans="1:29" ht="24.75" customHeight="1">
      <c r="A25" s="110"/>
      <c r="B25" s="94" t="s">
        <v>35</v>
      </c>
      <c r="C25" s="95"/>
      <c r="D25" s="58"/>
      <c r="E25" s="59"/>
      <c r="F25" s="58"/>
      <c r="G25" s="59"/>
      <c r="H25" s="58"/>
      <c r="I25" s="59"/>
      <c r="J25" s="58"/>
      <c r="K25" s="59"/>
      <c r="L25" s="58"/>
      <c r="M25" s="59"/>
      <c r="N25" s="58"/>
      <c r="O25" s="59"/>
      <c r="P25" s="58"/>
      <c r="Q25" s="59"/>
      <c r="R25" s="58"/>
      <c r="S25" s="59"/>
      <c r="T25" s="58"/>
      <c r="U25" s="59"/>
      <c r="V25" s="58"/>
      <c r="W25" s="59"/>
      <c r="X25" s="58"/>
      <c r="Y25" s="59"/>
      <c r="Z25" s="58"/>
      <c r="AA25" s="149"/>
      <c r="AB25" s="78"/>
      <c r="AC25" s="79"/>
    </row>
    <row r="26" spans="1:29" ht="24.75" customHeight="1">
      <c r="A26" s="110"/>
      <c r="B26" s="94" t="s">
        <v>47</v>
      </c>
      <c r="C26" s="95"/>
      <c r="D26" s="58"/>
      <c r="E26" s="59"/>
      <c r="F26" s="58"/>
      <c r="G26" s="59"/>
      <c r="H26" s="58"/>
      <c r="I26" s="59"/>
      <c r="J26" s="58"/>
      <c r="K26" s="59"/>
      <c r="L26" s="58"/>
      <c r="M26" s="59"/>
      <c r="N26" s="58"/>
      <c r="O26" s="59"/>
      <c r="P26" s="58"/>
      <c r="Q26" s="59"/>
      <c r="R26" s="58"/>
      <c r="S26" s="59"/>
      <c r="T26" s="58"/>
      <c r="U26" s="59"/>
      <c r="V26" s="58"/>
      <c r="W26" s="59"/>
      <c r="X26" s="58"/>
      <c r="Y26" s="59"/>
      <c r="Z26" s="58"/>
      <c r="AA26" s="149"/>
      <c r="AB26" s="78"/>
      <c r="AC26" s="79"/>
    </row>
    <row r="27" spans="1:29" ht="24.75" customHeight="1">
      <c r="A27" s="111"/>
      <c r="B27" s="94" t="s">
        <v>48</v>
      </c>
      <c r="C27" s="95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  <c r="R27" s="83"/>
      <c r="S27" s="84"/>
      <c r="T27" s="83"/>
      <c r="U27" s="84"/>
      <c r="V27" s="83"/>
      <c r="W27" s="84"/>
      <c r="X27" s="83"/>
      <c r="Y27" s="84"/>
      <c r="Z27" s="83"/>
      <c r="AA27" s="131"/>
      <c r="AB27" s="96"/>
      <c r="AC27" s="97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/>
      <c r="M28" s="102"/>
      <c r="N28" s="101"/>
      <c r="O28" s="102"/>
      <c r="P28" s="101"/>
      <c r="Q28" s="102"/>
      <c r="R28" s="101"/>
      <c r="S28" s="102"/>
      <c r="T28" s="101"/>
      <c r="U28" s="102"/>
      <c r="V28" s="101"/>
      <c r="W28" s="102"/>
      <c r="X28" s="101"/>
      <c r="Y28" s="102"/>
      <c r="Z28" s="101"/>
      <c r="AA28" s="154"/>
      <c r="AB28" s="122"/>
      <c r="AC28" s="123"/>
    </row>
    <row r="29" spans="1:29" ht="24.75" customHeight="1" thickBot="1">
      <c r="A29" s="71" t="s">
        <v>36</v>
      </c>
      <c r="B29" s="72"/>
      <c r="C29" s="73"/>
      <c r="D29" s="83">
        <f>SUM(D24:D28)</f>
        <v>0</v>
      </c>
      <c r="E29" s="84"/>
      <c r="F29" s="83">
        <f t="shared" ref="F29" si="33">SUM(F24:F28)</f>
        <v>0</v>
      </c>
      <c r="G29" s="84"/>
      <c r="H29" s="83">
        <f t="shared" ref="H29" si="34">SUM(H24:H28)</f>
        <v>0</v>
      </c>
      <c r="I29" s="84"/>
      <c r="J29" s="83">
        <f t="shared" ref="J29" si="35">SUM(J24:J28)</f>
        <v>0</v>
      </c>
      <c r="K29" s="84"/>
      <c r="L29" s="83">
        <f t="shared" ref="L29" si="36">SUM(L24:L28)</f>
        <v>0</v>
      </c>
      <c r="M29" s="84"/>
      <c r="N29" s="83">
        <f t="shared" ref="N29" si="37">SUM(N24:N28)</f>
        <v>0</v>
      </c>
      <c r="O29" s="84"/>
      <c r="P29" s="83">
        <f t="shared" ref="P29" si="38">SUM(P24:P28)</f>
        <v>0</v>
      </c>
      <c r="Q29" s="84"/>
      <c r="R29" s="83">
        <f t="shared" ref="R29" si="39">SUM(R24:R28)</f>
        <v>0</v>
      </c>
      <c r="S29" s="84"/>
      <c r="T29" s="83">
        <f t="shared" ref="T29" si="40">SUM(T24:T28)</f>
        <v>0</v>
      </c>
      <c r="U29" s="84"/>
      <c r="V29" s="83">
        <f t="shared" ref="V29" si="41">SUM(V24:V28)</f>
        <v>0</v>
      </c>
      <c r="W29" s="84"/>
      <c r="X29" s="83">
        <f t="shared" ref="X29" si="42">SUM(X24:X28)</f>
        <v>0</v>
      </c>
      <c r="Y29" s="84"/>
      <c r="Z29" s="83">
        <f t="shared" ref="Z29" si="43">SUM(Z24:Z28)</f>
        <v>0</v>
      </c>
      <c r="AA29" s="131"/>
      <c r="AB29" s="96">
        <f t="shared" ref="AB29" si="44">SUM(AB24:AB28)</f>
        <v>0</v>
      </c>
      <c r="AC29" s="97"/>
    </row>
    <row r="30" spans="1:29" ht="24.75" customHeight="1" thickTop="1" thickBot="1">
      <c r="A30" s="132" t="s">
        <v>37</v>
      </c>
      <c r="B30" s="133"/>
      <c r="C30" s="134"/>
      <c r="D30" s="126">
        <f>D23-D29</f>
        <v>0</v>
      </c>
      <c r="E30" s="127"/>
      <c r="F30" s="126">
        <f>F23-F29</f>
        <v>0</v>
      </c>
      <c r="G30" s="127"/>
      <c r="H30" s="126">
        <f>H23-H29</f>
        <v>0</v>
      </c>
      <c r="I30" s="127"/>
      <c r="J30" s="126">
        <f>J23-J29</f>
        <v>0</v>
      </c>
      <c r="K30" s="127"/>
      <c r="L30" s="126">
        <f>L23-L29</f>
        <v>0</v>
      </c>
      <c r="M30" s="127"/>
      <c r="N30" s="126">
        <f>N23-N29</f>
        <v>0</v>
      </c>
      <c r="O30" s="127"/>
      <c r="P30" s="126">
        <f>P23-P29</f>
        <v>0</v>
      </c>
      <c r="Q30" s="127"/>
      <c r="R30" s="126">
        <f>R23-R29</f>
        <v>0</v>
      </c>
      <c r="S30" s="127"/>
      <c r="T30" s="126">
        <f>T23-T29</f>
        <v>0</v>
      </c>
      <c r="U30" s="127"/>
      <c r="V30" s="126">
        <f>V23-V29</f>
        <v>0</v>
      </c>
      <c r="W30" s="127"/>
      <c r="X30" s="126">
        <f>X21-X29</f>
        <v>0</v>
      </c>
      <c r="Y30" s="127"/>
      <c r="Z30" s="126">
        <f>Z23-Z29</f>
        <v>0</v>
      </c>
      <c r="AA30" s="128"/>
      <c r="AB30" s="129">
        <f>D30+F30+H30+J30+L30+N30</f>
        <v>0</v>
      </c>
      <c r="AC30" s="130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F8D4-AC16-4446-800A-9D4E597829A1}">
  <sheetPr codeName="Sheet6"/>
  <dimension ref="A1:AC30"/>
  <sheetViews>
    <sheetView workbookViewId="0">
      <selection activeCell="D25" sqref="D25:AA28"/>
    </sheetView>
  </sheetViews>
  <sheetFormatPr defaultColWidth="5.625" defaultRowHeight="15"/>
  <cols>
    <col min="1" max="1" width="3.375" style="1" customWidth="1"/>
    <col min="2" max="2" width="8.875" style="1" customWidth="1"/>
    <col min="3" max="3" width="3.75" style="1" customWidth="1"/>
    <col min="4" max="19" width="5.625" style="1"/>
    <col min="20" max="20" width="6.625" style="1" bestFit="1" customWidth="1"/>
    <col min="21" max="16384" width="5.625" style="1"/>
  </cols>
  <sheetData>
    <row r="1" spans="1:29">
      <c r="A1" s="37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5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.75" thickTop="1">
      <c r="A3" s="40" t="s">
        <v>0</v>
      </c>
      <c r="B3" s="41"/>
      <c r="C3" s="41"/>
      <c r="D3" s="42"/>
      <c r="E3" s="43" t="s">
        <v>1</v>
      </c>
      <c r="F3" s="41"/>
      <c r="G3" s="41"/>
      <c r="H3" s="41"/>
      <c r="I3" s="41"/>
      <c r="J3" s="41"/>
      <c r="K3" s="42"/>
      <c r="L3" s="43" t="s">
        <v>2</v>
      </c>
      <c r="M3" s="41"/>
      <c r="N3" s="41"/>
      <c r="O3" s="41"/>
      <c r="P3" s="41"/>
      <c r="Q3" s="41"/>
      <c r="R3" s="42"/>
      <c r="S3" s="43" t="s">
        <v>3</v>
      </c>
      <c r="T3" s="41"/>
      <c r="U3" s="41"/>
      <c r="V3" s="41"/>
      <c r="W3" s="41"/>
      <c r="X3" s="41"/>
      <c r="Y3" s="42"/>
      <c r="Z3" s="41" t="s">
        <v>4</v>
      </c>
      <c r="AA3" s="41"/>
      <c r="AB3" s="41"/>
      <c r="AC3" s="44"/>
    </row>
    <row r="4" spans="1:29" ht="35.25" customHeight="1" thickBot="1">
      <c r="A4" s="45"/>
      <c r="B4" s="46"/>
      <c r="C4" s="47"/>
      <c r="D4" s="48"/>
      <c r="E4" s="49" t="s">
        <v>46</v>
      </c>
      <c r="F4" s="50"/>
      <c r="G4" s="50"/>
      <c r="H4" s="50"/>
      <c r="I4" s="50"/>
      <c r="J4" s="50"/>
      <c r="K4" s="51"/>
      <c r="L4" s="52"/>
      <c r="M4" s="47"/>
      <c r="N4" s="47"/>
      <c r="O4" s="47"/>
      <c r="P4" s="47"/>
      <c r="Q4" s="47"/>
      <c r="R4" s="48"/>
      <c r="S4" s="53" t="s">
        <v>57</v>
      </c>
      <c r="T4" s="54"/>
      <c r="U4" s="54"/>
      <c r="V4" s="54"/>
      <c r="W4" s="54"/>
      <c r="X4" s="54"/>
      <c r="Y4" s="55"/>
      <c r="Z4" s="56" t="s">
        <v>6</v>
      </c>
      <c r="AA4" s="56"/>
      <c r="AB4" s="56"/>
      <c r="AC4" s="57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8" t="s">
        <v>7</v>
      </c>
      <c r="B6" s="69"/>
      <c r="C6" s="70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2"/>
      <c r="AB6" s="63" t="s">
        <v>20</v>
      </c>
      <c r="AC6" s="64"/>
    </row>
    <row r="7" spans="1:29" ht="24.75" customHeight="1">
      <c r="A7" s="65" t="s">
        <v>40</v>
      </c>
      <c r="B7" s="66"/>
      <c r="C7" s="67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65" t="s">
        <v>41</v>
      </c>
      <c r="B8" s="66"/>
      <c r="C8" s="6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65" t="s">
        <v>49</v>
      </c>
      <c r="B9" s="66"/>
      <c r="C9" s="67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65" t="s">
        <v>69</v>
      </c>
      <c r="B10" s="66"/>
      <c r="C10" s="6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71" t="s">
        <v>26</v>
      </c>
      <c r="B11" s="72"/>
      <c r="C11" s="73"/>
      <c r="D11" s="74">
        <v>8000</v>
      </c>
      <c r="E11" s="75"/>
      <c r="F11" s="74">
        <v>8000</v>
      </c>
      <c r="G11" s="75"/>
      <c r="H11" s="74">
        <v>8000</v>
      </c>
      <c r="I11" s="75"/>
      <c r="J11" s="74">
        <v>8000</v>
      </c>
      <c r="K11" s="75"/>
      <c r="L11" s="74">
        <v>8000</v>
      </c>
      <c r="M11" s="75"/>
      <c r="N11" s="74">
        <v>8000</v>
      </c>
      <c r="O11" s="75"/>
      <c r="P11" s="74">
        <v>8000</v>
      </c>
      <c r="Q11" s="75"/>
      <c r="R11" s="74">
        <v>8000</v>
      </c>
      <c r="S11" s="75"/>
      <c r="T11" s="74">
        <v>8000</v>
      </c>
      <c r="U11" s="75"/>
      <c r="V11" s="74">
        <v>8000</v>
      </c>
      <c r="W11" s="75"/>
      <c r="X11" s="74">
        <v>8000</v>
      </c>
      <c r="Y11" s="75"/>
      <c r="Z11" s="74">
        <v>8000</v>
      </c>
      <c r="AA11" s="159"/>
      <c r="AB11" s="76"/>
      <c r="AC11" s="77"/>
    </row>
    <row r="12" spans="1:29" ht="24.75" customHeight="1">
      <c r="A12" s="65" t="s">
        <v>49</v>
      </c>
      <c r="B12" s="66"/>
      <c r="C12" s="67"/>
      <c r="D12" s="58">
        <v>1250</v>
      </c>
      <c r="E12" s="59"/>
      <c r="F12" s="58">
        <v>1250</v>
      </c>
      <c r="G12" s="59"/>
      <c r="H12" s="58">
        <v>1250</v>
      </c>
      <c r="I12" s="59"/>
      <c r="J12" s="58">
        <v>1250</v>
      </c>
      <c r="K12" s="59"/>
      <c r="L12" s="58">
        <v>1250</v>
      </c>
      <c r="M12" s="59"/>
      <c r="N12" s="58">
        <v>1250</v>
      </c>
      <c r="O12" s="59"/>
      <c r="P12" s="58">
        <v>1250</v>
      </c>
      <c r="Q12" s="59"/>
      <c r="R12" s="58">
        <v>1250</v>
      </c>
      <c r="S12" s="59"/>
      <c r="T12" s="58">
        <v>1250</v>
      </c>
      <c r="U12" s="59"/>
      <c r="V12" s="58">
        <v>1250</v>
      </c>
      <c r="W12" s="59"/>
      <c r="X12" s="58">
        <v>1250</v>
      </c>
      <c r="Y12" s="59"/>
      <c r="Z12" s="58">
        <v>1250</v>
      </c>
      <c r="AA12" s="149"/>
      <c r="AB12" s="78"/>
      <c r="AC12" s="79"/>
    </row>
    <row r="13" spans="1:29" ht="24.75" customHeight="1">
      <c r="A13" s="89" t="s">
        <v>27</v>
      </c>
      <c r="B13" s="90"/>
      <c r="C13" s="66"/>
      <c r="D13" s="58">
        <v>10000</v>
      </c>
      <c r="E13" s="59"/>
      <c r="F13" s="58">
        <v>10000</v>
      </c>
      <c r="G13" s="59"/>
      <c r="H13" s="58">
        <v>10000</v>
      </c>
      <c r="I13" s="59"/>
      <c r="J13" s="58">
        <v>10000</v>
      </c>
      <c r="K13" s="59"/>
      <c r="L13" s="58">
        <v>10000</v>
      </c>
      <c r="M13" s="59"/>
      <c r="N13" s="58">
        <v>10000</v>
      </c>
      <c r="O13" s="59"/>
      <c r="P13" s="58">
        <v>10000</v>
      </c>
      <c r="Q13" s="59"/>
      <c r="R13" s="58">
        <v>10000</v>
      </c>
      <c r="S13" s="59"/>
      <c r="T13" s="58">
        <v>10000</v>
      </c>
      <c r="U13" s="59"/>
      <c r="V13" s="58">
        <v>10000</v>
      </c>
      <c r="W13" s="59"/>
      <c r="X13" s="58">
        <v>10000</v>
      </c>
      <c r="Y13" s="59"/>
      <c r="Z13" s="58">
        <v>10000</v>
      </c>
      <c r="AA13" s="149"/>
      <c r="AB13" s="78"/>
      <c r="AC13" s="79"/>
    </row>
    <row r="14" spans="1:29" ht="24.75" customHeight="1" thickBot="1">
      <c r="A14" s="80" t="s">
        <v>50</v>
      </c>
      <c r="B14" s="81"/>
      <c r="C14" s="82"/>
      <c r="D14" s="85">
        <v>1562</v>
      </c>
      <c r="E14" s="86"/>
      <c r="F14" s="85">
        <v>1562</v>
      </c>
      <c r="G14" s="86"/>
      <c r="H14" s="85">
        <v>1562</v>
      </c>
      <c r="I14" s="86"/>
      <c r="J14" s="85">
        <v>1562</v>
      </c>
      <c r="K14" s="86"/>
      <c r="L14" s="85">
        <v>1562</v>
      </c>
      <c r="M14" s="86"/>
      <c r="N14" s="85">
        <v>1562</v>
      </c>
      <c r="O14" s="86"/>
      <c r="P14" s="85">
        <v>1562</v>
      </c>
      <c r="Q14" s="86"/>
      <c r="R14" s="85">
        <v>1562</v>
      </c>
      <c r="S14" s="86"/>
      <c r="T14" s="85">
        <v>1562</v>
      </c>
      <c r="U14" s="86"/>
      <c r="V14" s="85">
        <v>1562</v>
      </c>
      <c r="W14" s="86"/>
      <c r="X14" s="85">
        <v>1562</v>
      </c>
      <c r="Y14" s="86"/>
      <c r="Z14" s="85">
        <v>1562</v>
      </c>
      <c r="AA14" s="168"/>
      <c r="AB14" s="87"/>
      <c r="AC14" s="88"/>
    </row>
    <row r="15" spans="1:29" ht="24.75" customHeight="1" thickTop="1">
      <c r="A15" s="91" t="s">
        <v>42</v>
      </c>
      <c r="B15" s="28"/>
      <c r="C15" s="12" t="s">
        <v>43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96"/>
      <c r="AC15" s="97"/>
    </row>
    <row r="16" spans="1:29" ht="24.75" customHeight="1">
      <c r="A16" s="92"/>
      <c r="B16" s="16"/>
      <c r="C16" s="7" t="s">
        <v>44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78"/>
      <c r="AC16" s="79"/>
    </row>
    <row r="17" spans="1:29" ht="24.75" customHeight="1">
      <c r="A17" s="92"/>
      <c r="B17" s="16"/>
      <c r="C17" s="7" t="s">
        <v>45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78"/>
      <c r="AC17" s="79"/>
    </row>
    <row r="18" spans="1:29" ht="24.75" customHeight="1">
      <c r="A18" s="92"/>
      <c r="B18" s="94" t="s">
        <v>28</v>
      </c>
      <c r="C18" s="95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78"/>
      <c r="AC18" s="79"/>
    </row>
    <row r="19" spans="1:29" ht="24.75" customHeight="1">
      <c r="A19" s="92"/>
      <c r="B19" s="94" t="s">
        <v>29</v>
      </c>
      <c r="C19" s="95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78"/>
      <c r="AC19" s="79"/>
    </row>
    <row r="20" spans="1:29" ht="24.75" customHeight="1" thickBot="1">
      <c r="A20" s="93"/>
      <c r="B20" s="52" t="s">
        <v>30</v>
      </c>
      <c r="C20" s="48"/>
      <c r="D20" s="85"/>
      <c r="E20" s="86"/>
      <c r="F20" s="85"/>
      <c r="G20" s="86"/>
      <c r="H20" s="85"/>
      <c r="I20" s="86"/>
      <c r="J20" s="85"/>
      <c r="K20" s="86"/>
      <c r="L20" s="85"/>
      <c r="M20" s="86"/>
      <c r="N20" s="85"/>
      <c r="O20" s="86"/>
      <c r="P20" s="85"/>
      <c r="Q20" s="86"/>
      <c r="R20" s="85"/>
      <c r="S20" s="86"/>
      <c r="T20" s="85"/>
      <c r="U20" s="86"/>
      <c r="V20" s="85"/>
      <c r="W20" s="86"/>
      <c r="X20" s="85"/>
      <c r="Y20" s="86"/>
      <c r="Z20" s="85"/>
      <c r="AA20" s="86"/>
      <c r="AB20" s="87"/>
      <c r="AC20" s="88"/>
    </row>
    <row r="21" spans="1:29" ht="24.75" customHeight="1" thickTop="1">
      <c r="A21" s="71" t="s">
        <v>31</v>
      </c>
      <c r="B21" s="72"/>
      <c r="C21" s="73"/>
      <c r="D21" s="74">
        <f>INT(D7*D11+D8*D13+D10*D12+D15+D16+D17+D18+D19+D20)</f>
        <v>0</v>
      </c>
      <c r="E21" s="75"/>
      <c r="F21" s="74">
        <f t="shared" ref="F21" si="0">INT(F7*F11+F8*F13+F10*F12+F15+F16+F17+F18+F19+F20)</f>
        <v>0</v>
      </c>
      <c r="G21" s="75"/>
      <c r="H21" s="74">
        <f t="shared" ref="H21" si="1">INT(H7*H11+H8*H13+H10*H12+H15+H16+H17+H18+H19+H20)</f>
        <v>0</v>
      </c>
      <c r="I21" s="75"/>
      <c r="J21" s="74">
        <f t="shared" ref="J21" si="2">INT(J7*J11+J8*J13+J10*J12+J15+J16+J17+J18+J19+J20)</f>
        <v>0</v>
      </c>
      <c r="K21" s="75"/>
      <c r="L21" s="74">
        <f t="shared" ref="L21" si="3">INT(L7*L11+L8*L13+L10*L12+L15+L16+L17+L18+L19+L20)</f>
        <v>0</v>
      </c>
      <c r="M21" s="75"/>
      <c r="N21" s="74">
        <f t="shared" ref="N21" si="4">INT(N7*N11+N8*N13+N10*N12+N15+N16+N17+N18+N19+N20)</f>
        <v>0</v>
      </c>
      <c r="O21" s="75"/>
      <c r="P21" s="74">
        <f t="shared" ref="P21" si="5">INT(P7*P11+P8*P13+P10*P12+P15+P16+P17+P18+P19+P20)</f>
        <v>0</v>
      </c>
      <c r="Q21" s="75"/>
      <c r="R21" s="74">
        <f t="shared" ref="R21" si="6">INT(R7*R11+R8*R13+R10*R12+R15+R16+R17+R18+R19+R20)</f>
        <v>0</v>
      </c>
      <c r="S21" s="75"/>
      <c r="T21" s="74">
        <f t="shared" ref="T21" si="7">INT(T7*T11+T8*T13+T10*T12+T15+T16+T17+T18+T19+T20)</f>
        <v>0</v>
      </c>
      <c r="U21" s="75"/>
      <c r="V21" s="74">
        <f t="shared" ref="V21" si="8">INT(V7*V11+V8*V13+V10*V12+V15+V16+V17+V18+V19+V20)</f>
        <v>0</v>
      </c>
      <c r="W21" s="75"/>
      <c r="X21" s="74">
        <f t="shared" ref="X21" si="9">INT(X7*X11+X8*X13+X10*X12+X15+X16+X17+X18+X19+X20)</f>
        <v>0</v>
      </c>
      <c r="Y21" s="75"/>
      <c r="Z21" s="74">
        <f t="shared" ref="Z21" si="10">INT(Z7*Z11+Z8*Z13+Z10*Z12+Z15+Z16+Z17+Z18+Z19+Z20)</f>
        <v>0</v>
      </c>
      <c r="AA21" s="75"/>
      <c r="AB21" s="96"/>
      <c r="AC21" s="97"/>
    </row>
    <row r="22" spans="1:29" ht="24.75" customHeight="1" thickBot="1">
      <c r="A22" s="98" t="s">
        <v>39</v>
      </c>
      <c r="B22" s="99"/>
      <c r="C22" s="100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03"/>
      <c r="AC22" s="104"/>
    </row>
    <row r="23" spans="1:29" ht="24.75" customHeight="1" thickBot="1">
      <c r="A23" s="117" t="s">
        <v>20</v>
      </c>
      <c r="B23" s="118"/>
      <c r="C23" s="119"/>
      <c r="D23" s="105">
        <f>D21+D22</f>
        <v>0</v>
      </c>
      <c r="E23" s="106"/>
      <c r="F23" s="105">
        <f t="shared" ref="F23" si="11">F21+F22</f>
        <v>0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07">
        <f>D23+F23+H23+J23+L23+N23</f>
        <v>0</v>
      </c>
      <c r="AC23" s="108"/>
    </row>
    <row r="24" spans="1:29" ht="24.75" customHeight="1">
      <c r="A24" s="109" t="s">
        <v>33</v>
      </c>
      <c r="B24" s="113" t="s">
        <v>34</v>
      </c>
      <c r="C24" s="114"/>
      <c r="D24" s="115">
        <f>D23*0.003</f>
        <v>0</v>
      </c>
      <c r="E24" s="116"/>
      <c r="F24" s="115">
        <f t="shared" ref="F24" si="22">F23*0.003</f>
        <v>0</v>
      </c>
      <c r="G24" s="116"/>
      <c r="H24" s="115">
        <f t="shared" ref="H24" si="23">H23*0.003</f>
        <v>0</v>
      </c>
      <c r="I24" s="116"/>
      <c r="J24" s="115">
        <f t="shared" ref="J24" si="24">J23*0.003</f>
        <v>0</v>
      </c>
      <c r="K24" s="116"/>
      <c r="L24" s="115">
        <f t="shared" ref="L24" si="25">L23*0.003</f>
        <v>0</v>
      </c>
      <c r="M24" s="116"/>
      <c r="N24" s="115">
        <f t="shared" ref="N24" si="26">N23*0.003</f>
        <v>0</v>
      </c>
      <c r="O24" s="116"/>
      <c r="P24" s="115">
        <f t="shared" ref="P24" si="27">P23*0.003</f>
        <v>0</v>
      </c>
      <c r="Q24" s="116"/>
      <c r="R24" s="115">
        <f t="shared" ref="R24" si="28">R23*0.003</f>
        <v>0</v>
      </c>
      <c r="S24" s="116"/>
      <c r="T24" s="115">
        <f t="shared" ref="T24" si="29">T23*0.003</f>
        <v>0</v>
      </c>
      <c r="U24" s="116"/>
      <c r="V24" s="115">
        <f t="shared" ref="V24" si="30">V23*0.003</f>
        <v>0</v>
      </c>
      <c r="W24" s="116"/>
      <c r="X24" s="115">
        <f t="shared" ref="X24" si="31">X23*0.003</f>
        <v>0</v>
      </c>
      <c r="Y24" s="116"/>
      <c r="Z24" s="115">
        <f t="shared" ref="Z24" si="32">Z23*0.003</f>
        <v>0</v>
      </c>
      <c r="AA24" s="116"/>
      <c r="AB24" s="120"/>
      <c r="AC24" s="121"/>
    </row>
    <row r="25" spans="1:29" ht="24.75" customHeight="1">
      <c r="A25" s="110"/>
      <c r="B25" s="94" t="s">
        <v>35</v>
      </c>
      <c r="C25" s="95"/>
      <c r="D25" s="58"/>
      <c r="E25" s="59"/>
      <c r="F25" s="58"/>
      <c r="G25" s="59"/>
      <c r="H25" s="58"/>
      <c r="I25" s="59"/>
      <c r="J25" s="58"/>
      <c r="K25" s="59"/>
      <c r="L25" s="58"/>
      <c r="M25" s="59"/>
      <c r="N25" s="58"/>
      <c r="O25" s="59"/>
      <c r="P25" s="58"/>
      <c r="Q25" s="59"/>
      <c r="R25" s="58"/>
      <c r="S25" s="59"/>
      <c r="T25" s="58"/>
      <c r="U25" s="59"/>
      <c r="V25" s="58"/>
      <c r="W25" s="59"/>
      <c r="X25" s="58"/>
      <c r="Y25" s="59"/>
      <c r="Z25" s="58"/>
      <c r="AA25" s="59"/>
      <c r="AB25" s="78"/>
      <c r="AC25" s="79"/>
    </row>
    <row r="26" spans="1:29" ht="24.75" customHeight="1">
      <c r="A26" s="110"/>
      <c r="B26" s="94" t="s">
        <v>47</v>
      </c>
      <c r="C26" s="95"/>
      <c r="D26" s="58"/>
      <c r="E26" s="59"/>
      <c r="F26" s="58"/>
      <c r="G26" s="59"/>
      <c r="H26" s="58"/>
      <c r="I26" s="59"/>
      <c r="J26" s="58"/>
      <c r="K26" s="59"/>
      <c r="L26" s="58"/>
      <c r="M26" s="59"/>
      <c r="N26" s="58"/>
      <c r="O26" s="59"/>
      <c r="P26" s="58"/>
      <c r="Q26" s="59"/>
      <c r="R26" s="58"/>
      <c r="S26" s="59"/>
      <c r="T26" s="58"/>
      <c r="U26" s="59"/>
      <c r="V26" s="58"/>
      <c r="W26" s="59"/>
      <c r="X26" s="58"/>
      <c r="Y26" s="59"/>
      <c r="Z26" s="58"/>
      <c r="AA26" s="59"/>
      <c r="AB26" s="78"/>
      <c r="AC26" s="79"/>
    </row>
    <row r="27" spans="1:29" ht="24.75" customHeight="1">
      <c r="A27" s="111"/>
      <c r="B27" s="94" t="s">
        <v>48</v>
      </c>
      <c r="C27" s="95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  <c r="R27" s="83"/>
      <c r="S27" s="84"/>
      <c r="T27" s="83"/>
      <c r="U27" s="84"/>
      <c r="V27" s="83"/>
      <c r="W27" s="84"/>
      <c r="X27" s="83"/>
      <c r="Y27" s="84"/>
      <c r="Z27" s="83"/>
      <c r="AA27" s="84"/>
      <c r="AB27" s="96"/>
      <c r="AC27" s="97"/>
    </row>
    <row r="28" spans="1:29" ht="24.75" customHeight="1" thickBot="1">
      <c r="A28" s="112"/>
      <c r="B28" s="124" t="s">
        <v>51</v>
      </c>
      <c r="C28" s="125"/>
      <c r="D28" s="101"/>
      <c r="E28" s="102"/>
      <c r="F28" s="101"/>
      <c r="G28" s="102"/>
      <c r="H28" s="101"/>
      <c r="I28" s="102"/>
      <c r="J28" s="101"/>
      <c r="K28" s="102"/>
      <c r="L28" s="101"/>
      <c r="M28" s="102"/>
      <c r="N28" s="101"/>
      <c r="O28" s="102"/>
      <c r="P28" s="101"/>
      <c r="Q28" s="102"/>
      <c r="R28" s="101"/>
      <c r="S28" s="102"/>
      <c r="T28" s="101"/>
      <c r="U28" s="102"/>
      <c r="V28" s="101"/>
      <c r="W28" s="102"/>
      <c r="X28" s="101"/>
      <c r="Y28" s="102"/>
      <c r="Z28" s="101"/>
      <c r="AA28" s="102"/>
      <c r="AB28" s="122"/>
      <c r="AC28" s="123"/>
    </row>
    <row r="29" spans="1:29" ht="24.75" customHeight="1" thickBot="1">
      <c r="A29" s="71" t="s">
        <v>36</v>
      </c>
      <c r="B29" s="72"/>
      <c r="C29" s="73"/>
      <c r="D29" s="83">
        <f>SUM(D24:D28)</f>
        <v>0</v>
      </c>
      <c r="E29" s="84"/>
      <c r="F29" s="83">
        <f t="shared" ref="F29" si="33">SUM(F24:F28)</f>
        <v>0</v>
      </c>
      <c r="G29" s="84"/>
      <c r="H29" s="83">
        <f t="shared" ref="H29" si="34">SUM(H24:H28)</f>
        <v>0</v>
      </c>
      <c r="I29" s="84"/>
      <c r="J29" s="83">
        <f t="shared" ref="J29" si="35">SUM(J24:J28)</f>
        <v>0</v>
      </c>
      <c r="K29" s="84"/>
      <c r="L29" s="83">
        <f t="shared" ref="L29" si="36">SUM(L24:L28)</f>
        <v>0</v>
      </c>
      <c r="M29" s="84"/>
      <c r="N29" s="83">
        <f t="shared" ref="N29" si="37">SUM(N24:N28)</f>
        <v>0</v>
      </c>
      <c r="O29" s="84"/>
      <c r="P29" s="83">
        <f t="shared" ref="P29" si="38">SUM(P24:P28)</f>
        <v>0</v>
      </c>
      <c r="Q29" s="84"/>
      <c r="R29" s="83">
        <f t="shared" ref="R29" si="39">SUM(R24:R28)</f>
        <v>0</v>
      </c>
      <c r="S29" s="84"/>
      <c r="T29" s="83">
        <f t="shared" ref="T29" si="40">SUM(T24:T28)</f>
        <v>0</v>
      </c>
      <c r="U29" s="84"/>
      <c r="V29" s="83">
        <f t="shared" ref="V29" si="41">SUM(V24:V28)</f>
        <v>0</v>
      </c>
      <c r="W29" s="84"/>
      <c r="X29" s="83">
        <f t="shared" ref="X29" si="42">SUM(X24:X28)</f>
        <v>0</v>
      </c>
      <c r="Y29" s="84"/>
      <c r="Z29" s="83">
        <f t="shared" ref="Z29" si="43">SUM(Z24:Z28)</f>
        <v>0</v>
      </c>
      <c r="AA29" s="131"/>
      <c r="AB29" s="96">
        <f t="shared" ref="AB29" si="44">SUM(AB24:AB28)</f>
        <v>0</v>
      </c>
      <c r="AC29" s="97"/>
    </row>
    <row r="30" spans="1:29" ht="24.75" customHeight="1" thickTop="1" thickBot="1">
      <c r="A30" s="132" t="s">
        <v>37</v>
      </c>
      <c r="B30" s="133"/>
      <c r="C30" s="134"/>
      <c r="D30" s="126">
        <f>D23-D29</f>
        <v>0</v>
      </c>
      <c r="E30" s="127"/>
      <c r="F30" s="126">
        <f>F23-F29</f>
        <v>0</v>
      </c>
      <c r="G30" s="127"/>
      <c r="H30" s="126">
        <f>H23-H29</f>
        <v>0</v>
      </c>
      <c r="I30" s="127"/>
      <c r="J30" s="126">
        <f>J23-J29</f>
        <v>0</v>
      </c>
      <c r="K30" s="127"/>
      <c r="L30" s="126">
        <f>L23-L29</f>
        <v>0</v>
      </c>
      <c r="M30" s="127"/>
      <c r="N30" s="126">
        <f>N23-N29</f>
        <v>0</v>
      </c>
      <c r="O30" s="127"/>
      <c r="P30" s="126">
        <f>P23-P29</f>
        <v>0</v>
      </c>
      <c r="Q30" s="127"/>
      <c r="R30" s="126">
        <f>R23-R29</f>
        <v>0</v>
      </c>
      <c r="S30" s="127"/>
      <c r="T30" s="126">
        <f>T23-T29</f>
        <v>0</v>
      </c>
      <c r="U30" s="127"/>
      <c r="V30" s="126">
        <f>V23-V29</f>
        <v>0</v>
      </c>
      <c r="W30" s="127"/>
      <c r="X30" s="126">
        <f>X21-X29</f>
        <v>0</v>
      </c>
      <c r="Y30" s="127"/>
      <c r="Z30" s="126">
        <f>Z23-Z29</f>
        <v>0</v>
      </c>
      <c r="AA30" s="128"/>
      <c r="AB30" s="129">
        <f>D30+F30+H30+J30+L30+N30</f>
        <v>0</v>
      </c>
      <c r="AC30" s="130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36</vt:i4>
      </vt:variant>
    </vt:vector>
  </HeadingPairs>
  <TitlesOfParts>
    <vt:vector size="36" baseType="lpstr">
      <vt:lpstr>高井</vt:lpstr>
      <vt:lpstr>中元</vt:lpstr>
      <vt:lpstr>前川</vt:lpstr>
      <vt:lpstr>香山 (2)</vt:lpstr>
      <vt:lpstr>前田  (2)</vt:lpstr>
      <vt:lpstr>新澤</vt:lpstr>
      <vt:lpstr>鴻斎</vt:lpstr>
      <vt:lpstr>原本</vt:lpstr>
      <vt:lpstr>前田 </vt:lpstr>
      <vt:lpstr>香山</vt:lpstr>
      <vt:lpstr>友久</vt:lpstr>
      <vt:lpstr>池内</vt:lpstr>
      <vt:lpstr>霞末</vt:lpstr>
      <vt:lpstr>畑中</vt:lpstr>
      <vt:lpstr>油谷</vt:lpstr>
      <vt:lpstr>田中</vt:lpstr>
      <vt:lpstr>鈴木</vt:lpstr>
      <vt:lpstr>香西</vt:lpstr>
      <vt:lpstr>檜垣</vt:lpstr>
      <vt:lpstr>瀧川</vt:lpstr>
      <vt:lpstr>小川清</vt:lpstr>
      <vt:lpstr>小川リエ</vt:lpstr>
      <vt:lpstr>足立</vt:lpstr>
      <vt:lpstr>中川</vt:lpstr>
      <vt:lpstr>土屋</vt:lpstr>
      <vt:lpstr>和哉</vt:lpstr>
      <vt:lpstr>宏稀</vt:lpstr>
      <vt:lpstr>中村初男</vt:lpstr>
      <vt:lpstr>山川善博</vt:lpstr>
      <vt:lpstr>岡本</vt:lpstr>
      <vt:lpstr>山兄</vt:lpstr>
      <vt:lpstr>山弟</vt:lpstr>
      <vt:lpstr>恵子</vt:lpstr>
      <vt:lpstr>山名</vt:lpstr>
      <vt:lpstr>高木</vt:lpstr>
      <vt:lpstr>杜山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2025-05-27T06:22:59Z</cp:lastPrinted>
  <dcterms:created xsi:type="dcterms:W3CDTF">2015-06-05T18:19:34Z</dcterms:created>
  <dcterms:modified xsi:type="dcterms:W3CDTF">2025-05-27T06:24:51Z</dcterms:modified>
</cp:coreProperties>
</file>